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dawashbu\Downloads\"/>
    </mc:Choice>
  </mc:AlternateContent>
  <xr:revisionPtr revIDLastSave="0" documentId="8_{1C37DD0E-FDD1-4847-9DFB-58D544C97C63}" xr6:coauthVersionLast="47" xr6:coauthVersionMax="47" xr10:uidLastSave="{00000000-0000-0000-0000-000000000000}"/>
  <bookViews>
    <workbookView xWindow="31740" yWindow="1170" windowWidth="16665" windowHeight="16875" xr2:uid="{00000000-000D-0000-FFFF-FFFF00000000}"/>
  </bookViews>
  <sheets>
    <sheet name="Budget " sheetId="3" r:id="rId1"/>
    <sheet name="Feed Cost" sheetId="4" r:id="rId2"/>
    <sheet name="Chicks VS Pullets" sheetId="2" r:id="rId3"/>
    <sheet name="Break Even Table" sheetId="5" r:id="rId4"/>
  </sheets>
  <definedNames>
    <definedName name="_xlnm.Print_Area" localSheetId="3">'Break Even Table'!$A$1:$K$12</definedName>
    <definedName name="_xlnm.Print_Area" localSheetId="0">'Budget '!$B$1:$F$53</definedName>
    <definedName name="_xlnm.Print_Area" localSheetId="1">'Feed Cost'!$B$1:$G$49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4" l="1"/>
  <c r="E44" i="4"/>
  <c r="E11" i="2"/>
  <c r="E10" i="2"/>
  <c r="E12" i="2"/>
  <c r="E13" i="2"/>
  <c r="E14" i="2"/>
  <c r="E14" i="3"/>
  <c r="F14" i="3"/>
  <c r="E48" i="4"/>
  <c r="F15" i="3"/>
  <c r="F28" i="3"/>
  <c r="F42" i="3"/>
  <c r="F44" i="3"/>
  <c r="D17" i="3"/>
  <c r="D32" i="4"/>
  <c r="D28" i="4"/>
  <c r="D24" i="4"/>
  <c r="F17" i="3"/>
  <c r="F18" i="3"/>
  <c r="F21" i="3"/>
  <c r="F22" i="3"/>
  <c r="F23" i="3"/>
  <c r="F24" i="3"/>
  <c r="F41" i="3"/>
  <c r="D19" i="3"/>
  <c r="C23" i="4"/>
  <c r="C27" i="4"/>
  <c r="C11" i="2"/>
  <c r="C30" i="4"/>
  <c r="C26" i="4"/>
  <c r="D48" i="4"/>
  <c r="C33" i="2"/>
  <c r="C7" i="3"/>
  <c r="C12" i="2"/>
  <c r="E6" i="2"/>
  <c r="C17" i="2"/>
  <c r="E17" i="2"/>
  <c r="D36" i="4"/>
  <c r="E36" i="4"/>
  <c r="F44" i="4"/>
  <c r="E7" i="2"/>
  <c r="E27" i="2"/>
  <c r="F48" i="4"/>
  <c r="G48" i="4"/>
  <c r="E28" i="2"/>
  <c r="C22" i="4"/>
  <c r="D10" i="3"/>
  <c r="D11" i="3"/>
  <c r="E11" i="3"/>
  <c r="H8" i="5"/>
  <c r="D40" i="4"/>
  <c r="E40" i="4"/>
  <c r="F25" i="3"/>
  <c r="D40" i="3"/>
  <c r="C40" i="3"/>
  <c r="F40" i="3"/>
  <c r="F39" i="3"/>
  <c r="F5" i="5"/>
  <c r="G5" i="5"/>
  <c r="H5" i="5"/>
  <c r="I5" i="5"/>
  <c r="J5" i="5"/>
  <c r="E5" i="5"/>
  <c r="D5" i="5"/>
  <c r="C5" i="5"/>
  <c r="F26" i="3"/>
  <c r="F27" i="3"/>
  <c r="F36" i="3"/>
  <c r="F37" i="3"/>
  <c r="F38" i="3"/>
  <c r="F20" i="3"/>
  <c r="E34" i="2"/>
  <c r="E33" i="2"/>
  <c r="E35" i="2"/>
  <c r="F6" i="5"/>
  <c r="G6" i="5"/>
  <c r="H6" i="5"/>
  <c r="I6" i="5"/>
  <c r="J6" i="5"/>
  <c r="E6" i="5"/>
  <c r="D6" i="5"/>
  <c r="C6" i="5"/>
  <c r="E26" i="2"/>
  <c r="E29" i="2"/>
  <c r="E30" i="2"/>
  <c r="D16" i="3"/>
  <c r="F16" i="3"/>
  <c r="F11" i="3"/>
  <c r="D18" i="3"/>
  <c r="F19" i="3"/>
  <c r="F32" i="3"/>
  <c r="F35" i="3"/>
  <c r="F34" i="3"/>
  <c r="F31" i="3"/>
  <c r="F33" i="3"/>
  <c r="E18" i="2"/>
  <c r="E36" i="2"/>
  <c r="I8" i="5"/>
  <c r="J8" i="5"/>
  <c r="B46" i="3"/>
  <c r="D8" i="5"/>
  <c r="C8" i="5"/>
  <c r="F8" i="5"/>
  <c r="G8" i="5"/>
  <c r="D14" i="3"/>
  <c r="F10" i="3"/>
  <c r="F12" i="3"/>
  <c r="E8" i="5"/>
  <c r="G44" i="4"/>
  <c r="F40" i="4"/>
  <c r="E19" i="2"/>
  <c r="E20" i="2"/>
  <c r="H10" i="5"/>
  <c r="J10" i="5"/>
  <c r="E10" i="5"/>
  <c r="D10" i="5"/>
  <c r="G10" i="5"/>
  <c r="F43" i="3"/>
  <c r="F10" i="5"/>
  <c r="I10" i="5"/>
  <c r="C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dawashbu</author>
  </authors>
  <commentList>
    <comment ref="D19" authorId="0" shapeId="0" xr:uid="{00000000-0006-0000-0100-000001000000}">
      <text>
        <r>
          <rPr>
            <b/>
            <sz val="20"/>
            <color indexed="81"/>
            <rFont val="Tahoma"/>
            <family val="2"/>
          </rPr>
          <t>This is the total months chickens start to lay untill they are processed for meat sales</t>
        </r>
        <r>
          <rPr>
            <sz val="9"/>
            <color indexed="81"/>
            <rFont val="Tahoma"/>
            <family val="2"/>
          </rPr>
          <t xml:space="preserve">
</t>
        </r>
      </text>
    </comment>
  </commentList>
</comments>
</file>

<file path=xl/sharedStrings.xml><?xml version="1.0" encoding="utf-8"?>
<sst xmlns="http://schemas.openxmlformats.org/spreadsheetml/2006/main" count="170" uniqueCount="148">
  <si>
    <t xml:space="preserve">Gross Income </t>
  </si>
  <si>
    <t>Unit</t>
  </si>
  <si>
    <t>Eggs</t>
  </si>
  <si>
    <t>Price</t>
  </si>
  <si>
    <t xml:space="preserve">Hens </t>
  </si>
  <si>
    <t>Each</t>
  </si>
  <si>
    <t>Variable Cost</t>
  </si>
  <si>
    <t>Repairs</t>
  </si>
  <si>
    <t>Medication and Diagnostic</t>
  </si>
  <si>
    <t>Egg Cartons</t>
  </si>
  <si>
    <t>Total Variable Cost</t>
  </si>
  <si>
    <t>Fixed Costs</t>
  </si>
  <si>
    <t xml:space="preserve">Fencing </t>
  </si>
  <si>
    <t>each</t>
  </si>
  <si>
    <t>Total Fixed Costs</t>
  </si>
  <si>
    <t>Total Costs</t>
  </si>
  <si>
    <t xml:space="preserve">Returns </t>
  </si>
  <si>
    <t xml:space="preserve">Electricity </t>
  </si>
  <si>
    <t>Slaughter fee</t>
  </si>
  <si>
    <t xml:space="preserve">Day old chick </t>
  </si>
  <si>
    <t>Total Income</t>
  </si>
  <si>
    <t>Marketing Allowance</t>
  </si>
  <si>
    <t>Day old Chicks</t>
  </si>
  <si>
    <t>Eggs not collected for 20 weeks</t>
  </si>
  <si>
    <t>Day old chicks</t>
  </si>
  <si>
    <t>Hours</t>
  </si>
  <si>
    <t>$/hour</t>
  </si>
  <si>
    <t>annual hours</t>
  </si>
  <si>
    <t>Breakeven if only eggs are sold</t>
  </si>
  <si>
    <t>spot at market</t>
  </si>
  <si>
    <t>Small Flock Egg Production Budget</t>
  </si>
  <si>
    <t>Layer Feed Budget</t>
  </si>
  <si>
    <t>Number of Chicks Needed =</t>
  </si>
  <si>
    <t>Cost</t>
  </si>
  <si>
    <t>Quantity</t>
  </si>
  <si>
    <t xml:space="preserve">Quantity </t>
  </si>
  <si>
    <t>Hen House</t>
  </si>
  <si>
    <t>Fence Charger</t>
  </si>
  <si>
    <t>months</t>
  </si>
  <si>
    <t>allowance</t>
  </si>
  <si>
    <t>Eggs Per Week</t>
  </si>
  <si>
    <t>Total Months</t>
  </si>
  <si>
    <t>Chickens are Kept</t>
  </si>
  <si>
    <t>Total Dozen Eggs</t>
  </si>
  <si>
    <t>per Chicken</t>
  </si>
  <si>
    <t>Per dozen eggs</t>
  </si>
  <si>
    <t>Egg Breakout</t>
  </si>
  <si>
    <t>Total $ of Starter Feed</t>
  </si>
  <si>
    <t>- 22% protein</t>
  </si>
  <si>
    <t>- 16% protein</t>
  </si>
  <si>
    <t>Total $ of Pullet Grower</t>
  </si>
  <si>
    <t>Total $ Layer Feed</t>
  </si>
  <si>
    <t>per Chicken lifespan</t>
  </si>
  <si>
    <t>Total Weeks</t>
  </si>
  <si>
    <t>Time Breakout</t>
  </si>
  <si>
    <t>Cost of Chicken Starter/lb</t>
  </si>
  <si>
    <t>Cost of Pullet Grower/lb</t>
  </si>
  <si>
    <t>Cost of Layer Feed/lb</t>
  </si>
  <si>
    <t>Chickens Lost per Year</t>
  </si>
  <si>
    <t>Mortality</t>
  </si>
  <si>
    <t>Cash Cost per chick</t>
  </si>
  <si>
    <t>Cash Cost per pullet</t>
  </si>
  <si>
    <t>Total Cost per chick</t>
  </si>
  <si>
    <t>Total Cost per pullet</t>
  </si>
  <si>
    <t>Total</t>
  </si>
  <si>
    <t xml:space="preserve">Cost </t>
  </si>
  <si>
    <t>Feed Cost</t>
  </si>
  <si>
    <t>Hens Ready to Lay</t>
  </si>
  <si>
    <t>Feed for 1 week</t>
  </si>
  <si>
    <t>Annual Feed Cost over one year of laying</t>
  </si>
  <si>
    <t>Annual Feed lbs over one year of laying</t>
  </si>
  <si>
    <t>Avg $ Feed</t>
  </si>
  <si>
    <t>Mortality 1%</t>
  </si>
  <si>
    <t>Cost of Purchasing Layers</t>
  </si>
  <si>
    <t>Total Cost</t>
  </si>
  <si>
    <t>Owner Labor 1 week</t>
  </si>
  <si>
    <t>Owner Labor 20 weeks</t>
  </si>
  <si>
    <t>Eggs not collected for 1 weeks</t>
  </si>
  <si>
    <t>Cost of Day old Chick vs Layers</t>
  </si>
  <si>
    <t>Laying Hen</t>
  </si>
  <si>
    <t>Loss of Income Considered</t>
  </si>
  <si>
    <t>Two years of production</t>
  </si>
  <si>
    <t>Spent Hens lbs.</t>
  </si>
  <si>
    <t>spent hens, $/lb.</t>
  </si>
  <si>
    <t>lbs.</t>
  </si>
  <si>
    <t>Price Mix 1</t>
  </si>
  <si>
    <t>Price Mix 2</t>
  </si>
  <si>
    <t>Price Mix 3</t>
  </si>
  <si>
    <t>Price Mix 4</t>
  </si>
  <si>
    <t>Price Mix 5</t>
  </si>
  <si>
    <t>Price Mix 6</t>
  </si>
  <si>
    <t>Eggs- per dozen</t>
  </si>
  <si>
    <t>Gross Income</t>
  </si>
  <si>
    <t>Net Income</t>
  </si>
  <si>
    <t>Price Mix 7</t>
  </si>
  <si>
    <t>Price Mix 8</t>
  </si>
  <si>
    <t>Break Even Table for Eggs and Spent Chickens</t>
  </si>
  <si>
    <t>cost per bird</t>
  </si>
  <si>
    <t>% of value</t>
  </si>
  <si>
    <t>Spent Hens- per bird</t>
  </si>
  <si>
    <t>Cost of feed per month during laying</t>
  </si>
  <si>
    <t>Monthly Feed Cash Cost</t>
  </si>
  <si>
    <t>Number of Laying Hens=</t>
  </si>
  <si>
    <t>Cost of Purchasing and Raising Chicks</t>
  </si>
  <si>
    <t>Hours per 10 dz</t>
  </si>
  <si>
    <t>dz per week, Maximum with no grading requirements = 30dz</t>
  </si>
  <si>
    <t>Acerage</t>
  </si>
  <si>
    <t>Land Cost/Use</t>
  </si>
  <si>
    <t>DZ[4]</t>
  </si>
  <si>
    <t>[5]Land cost is the cost to rent the land in this budget but you can use it to apply the cost of taxes paid per acre, this number is not the land value or the price paid for the land</t>
  </si>
  <si>
    <t>[1]Assumes you buy 110% of the birds you will need for laying during the year to replace the flock by buying pullet, you can choose to keep birds as long as they are laying productively or as much as two years to decrease replacement hen cost</t>
  </si>
  <si>
    <r>
      <t>Total Feed</t>
    </r>
    <r>
      <rPr>
        <u/>
        <sz val="16"/>
        <color theme="10"/>
        <rFont val="Arial"/>
        <family val="2"/>
      </rPr>
      <t>[2]</t>
    </r>
  </si>
  <si>
    <t>[2]based on 0.28 lbs. per day per bird, and raising 100 chicks to laying size during the year at 13lbs per bird, some studies and emperical evidence indicates pasture can reduce feed cost 25% for 8-9 months (17%)  $970, but that is not reflected here</t>
  </si>
  <si>
    <r>
      <t xml:space="preserve">Land use/cost acre </t>
    </r>
    <r>
      <rPr>
        <b/>
        <sz val="16"/>
        <color theme="1"/>
        <rFont val="Arial"/>
        <family val="2"/>
      </rPr>
      <t>[5]</t>
    </r>
  </si>
  <si>
    <r>
      <t xml:space="preserve"># Chicks Purchased </t>
    </r>
    <r>
      <rPr>
        <b/>
        <sz val="16"/>
        <rFont val="Arial"/>
        <family val="2"/>
      </rPr>
      <t>[1]</t>
    </r>
  </si>
  <si>
    <r>
      <t xml:space="preserve">Farmers Labor </t>
    </r>
    <r>
      <rPr>
        <sz val="16"/>
        <color theme="1"/>
        <rFont val="Arial"/>
        <family val="2"/>
      </rPr>
      <t>[3]</t>
    </r>
  </si>
  <si>
    <r>
      <t xml:space="preserve">Egg Grading </t>
    </r>
    <r>
      <rPr>
        <sz val="16"/>
        <color theme="1"/>
        <rFont val="Arial"/>
        <family val="2"/>
      </rPr>
      <t>[6]</t>
    </r>
  </si>
  <si>
    <t>[6] Egg grading hours are for operations that sell 30dz egs per week or more</t>
  </si>
  <si>
    <r>
      <t xml:space="preserve">Equipment </t>
    </r>
    <r>
      <rPr>
        <sz val="16"/>
        <color theme="1"/>
        <rFont val="Arial"/>
        <family val="2"/>
      </rPr>
      <t>[4]</t>
    </r>
  </si>
  <si>
    <r>
      <t>Supplies</t>
    </r>
    <r>
      <rPr>
        <sz val="16"/>
        <color theme="1"/>
        <rFont val="Arial"/>
        <family val="2"/>
      </rPr>
      <t xml:space="preserve"> [4]</t>
    </r>
  </si>
  <si>
    <r>
      <t>[4]</t>
    </r>
    <r>
      <rPr>
        <b/>
        <sz val="20"/>
        <color theme="1"/>
        <rFont val="Arial"/>
        <family val="2"/>
      </rPr>
      <t>Supplies</t>
    </r>
    <r>
      <rPr>
        <sz val="20"/>
        <color theme="1"/>
        <rFont val="Arial"/>
        <family val="2"/>
      </rPr>
      <t xml:space="preserve"> capture other vairable cost such as bedding for chickens and other annual expenses. </t>
    </r>
    <r>
      <rPr>
        <b/>
        <sz val="20"/>
        <color theme="1"/>
        <rFont val="Arial"/>
        <family val="2"/>
      </rPr>
      <t>Equipment</t>
    </r>
    <r>
      <rPr>
        <sz val="20"/>
        <color theme="1"/>
        <rFont val="Arial"/>
        <family val="2"/>
      </rPr>
      <t xml:space="preserve"> captures cost associated with raising chicks such as the cost of purchasing guinea hens for chicken protection, feed bins, feed scoops, and simlilar capitol cost.</t>
    </r>
  </si>
  <si>
    <t>Raising Pens (for chicks)</t>
  </si>
  <si>
    <t>Years Useful Life</t>
  </si>
  <si>
    <t>Feed Break Out</t>
  </si>
  <si>
    <t>Per Chicken Breakout</t>
  </si>
  <si>
    <t>Molting Weeks Per Year</t>
  </si>
  <si>
    <t>(average factoring molting weeks)</t>
  </si>
  <si>
    <t>Weekly Farmer Labor/hrs.</t>
  </si>
  <si>
    <t>Eggs/Week/Chicken</t>
  </si>
  <si>
    <t>Total starter feed in</t>
  </si>
  <si>
    <t xml:space="preserve">Layer feed for </t>
  </si>
  <si>
    <t>Weeks</t>
  </si>
  <si>
    <t>avg. lbs of feed</t>
  </si>
  <si>
    <t>Birds</t>
  </si>
  <si>
    <t>Total Months Chickens Fed</t>
  </si>
  <si>
    <t>Layer Feed- 18% protein</t>
  </si>
  <si>
    <t>avg. lbs of feed for</t>
  </si>
  <si>
    <t>Month</t>
  </si>
  <si>
    <t>Weekly Feed</t>
  </si>
  <si>
    <t># of weeks on Chicken Starter</t>
  </si>
  <si>
    <t># of weeks on Pullet Grower</t>
  </si>
  <si>
    <t>Total Average</t>
  </si>
  <si>
    <t>eating pullet grower over</t>
  </si>
  <si>
    <t>Feed for</t>
  </si>
  <si>
    <t>weeks</t>
  </si>
  <si>
    <t>[3]Farmer labor is an estimate of total time spent with Chickens during the production year and it assumes 2 hours per year per bird, when viewing this budget you can assume this is your income for time invested with the chickens</t>
  </si>
  <si>
    <t>Average WEEKLY feed in lbs, assumes 31.5 days</t>
  </si>
  <si>
    <t>Cost chicks to Layers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</si>
</sst>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0.0"/>
    <numFmt numFmtId="166" formatCode="&quot;$&quot;#,##0.00;[Red]&quot;$&quot;#,##0.00"/>
    <numFmt numFmtId="167" formatCode="#,##0.00;[Red]#,##0.00"/>
    <numFmt numFmtId="168" formatCode="#,##0.0"/>
  </numFmts>
  <fonts count="27" x14ac:knownFonts="1">
    <font>
      <sz val="10"/>
      <color theme="1"/>
      <name val="Calibri"/>
      <family val="2"/>
      <scheme val="minor"/>
    </font>
    <font>
      <sz val="10"/>
      <color theme="1"/>
      <name val="Calibri"/>
      <family val="2"/>
      <scheme val="minor"/>
    </font>
    <font>
      <u/>
      <sz val="10"/>
      <color theme="10"/>
      <name val="Calibri"/>
      <family val="2"/>
      <scheme val="minor"/>
    </font>
    <font>
      <sz val="12"/>
      <color theme="1"/>
      <name val="Arial"/>
      <family val="2"/>
    </font>
    <font>
      <sz val="10"/>
      <color theme="1"/>
      <name val="Arial"/>
      <family val="2"/>
    </font>
    <font>
      <sz val="20"/>
      <color theme="1"/>
      <name val="Arial"/>
      <family val="2"/>
    </font>
    <font>
      <b/>
      <sz val="20"/>
      <color theme="1"/>
      <name val="Arial"/>
      <family val="2"/>
    </font>
    <font>
      <sz val="14"/>
      <color theme="1"/>
      <name val="Arial"/>
      <family val="2"/>
    </font>
    <font>
      <sz val="20"/>
      <name val="Arial"/>
      <family val="2"/>
    </font>
    <font>
      <u/>
      <sz val="20"/>
      <color theme="10"/>
      <name val="Arial"/>
      <family val="2"/>
    </font>
    <font>
      <b/>
      <sz val="20"/>
      <name val="Arial"/>
      <family val="2"/>
    </font>
    <font>
      <b/>
      <sz val="11"/>
      <color theme="1"/>
      <name val="Arial"/>
      <family val="2"/>
    </font>
    <font>
      <b/>
      <sz val="12"/>
      <color theme="1"/>
      <name val="Arial"/>
      <family val="2"/>
    </font>
    <font>
      <b/>
      <sz val="16"/>
      <color theme="1"/>
      <name val="Arial"/>
      <family val="2"/>
    </font>
    <font>
      <b/>
      <sz val="14"/>
      <color theme="1"/>
      <name val="Arial"/>
      <family val="2"/>
    </font>
    <font>
      <sz val="16"/>
      <color theme="1"/>
      <name val="Arial"/>
      <family val="2"/>
    </font>
    <font>
      <b/>
      <sz val="16"/>
      <name val="Arial"/>
      <family val="2"/>
    </font>
    <font>
      <u/>
      <sz val="16"/>
      <color theme="10"/>
      <name val="Arial"/>
      <family val="2"/>
    </font>
    <font>
      <b/>
      <sz val="36"/>
      <color theme="1"/>
      <name val="Arial"/>
      <family val="2"/>
    </font>
    <font>
      <sz val="9"/>
      <color indexed="81"/>
      <name val="Tahoma"/>
      <family val="2"/>
    </font>
    <font>
      <b/>
      <sz val="20"/>
      <color indexed="81"/>
      <name val="Tahoma"/>
      <family val="2"/>
    </font>
    <font>
      <sz val="12"/>
      <color theme="1"/>
      <name val="Arial Narrow"/>
      <family val="2"/>
    </font>
    <font>
      <sz val="10"/>
      <color theme="1"/>
      <name val="Arial Narrow"/>
      <family val="2"/>
    </font>
    <font>
      <sz val="20"/>
      <color theme="1"/>
      <name val="Arial Narrow"/>
      <family val="2"/>
    </font>
    <font>
      <b/>
      <sz val="28"/>
      <color theme="1"/>
      <name val="Arial Narrow"/>
      <family val="2"/>
    </font>
    <font>
      <b/>
      <sz val="20"/>
      <color theme="1"/>
      <name val="Arial Narrow"/>
      <family val="2"/>
    </font>
    <font>
      <sz val="20"/>
      <name val="Arial Narrow"/>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151">
    <xf numFmtId="0" fontId="0" fillId="0" borderId="0" xfId="0"/>
    <xf numFmtId="0" fontId="5" fillId="0" borderId="0" xfId="0" applyFont="1" applyAlignment="1" applyProtection="1">
      <alignment horizontal="center"/>
      <protection locked="0"/>
    </xf>
    <xf numFmtId="164" fontId="5" fillId="0" borderId="0" xfId="0" applyNumberFormat="1" applyFont="1" applyAlignment="1" applyProtection="1">
      <alignment horizontal="center"/>
      <protection locked="0"/>
    </xf>
    <xf numFmtId="0" fontId="5" fillId="0" borderId="1" xfId="0" applyFont="1" applyBorder="1" applyProtection="1">
      <protection locked="0"/>
    </xf>
    <xf numFmtId="3" fontId="5" fillId="2" borderId="0" xfId="0" applyNumberFormat="1" applyFont="1" applyFill="1" applyAlignment="1">
      <alignment horizontal="center"/>
    </xf>
    <xf numFmtId="0" fontId="5" fillId="2" borderId="0" xfId="0" applyFont="1" applyFill="1" applyAlignment="1">
      <alignment horizontal="center"/>
    </xf>
    <xf numFmtId="0" fontId="5" fillId="0" borderId="0" xfId="0" applyFont="1"/>
    <xf numFmtId="44" fontId="9" fillId="2" borderId="0" xfId="3" applyNumberFormat="1" applyFont="1" applyFill="1" applyAlignment="1" applyProtection="1">
      <alignment horizontal="center"/>
    </xf>
    <xf numFmtId="44" fontId="5" fillId="2" borderId="0" xfId="0" applyNumberFormat="1" applyFont="1" applyFill="1" applyAlignment="1">
      <alignment horizontal="center"/>
    </xf>
    <xf numFmtId="44" fontId="5" fillId="2" borderId="1" xfId="0" applyNumberFormat="1" applyFont="1" applyFill="1" applyBorder="1" applyAlignment="1">
      <alignment horizontal="center"/>
    </xf>
    <xf numFmtId="164" fontId="5" fillId="2" borderId="0" xfId="0" applyNumberFormat="1" applyFont="1" applyFill="1" applyAlignment="1">
      <alignment horizontal="center"/>
    </xf>
    <xf numFmtId="0" fontId="10" fillId="0" borderId="0" xfId="3" applyFont="1" applyFill="1" applyProtection="1"/>
    <xf numFmtId="1" fontId="8" fillId="2" borderId="1" xfId="0" applyNumberFormat="1" applyFont="1" applyFill="1" applyBorder="1" applyAlignment="1">
      <alignment horizontal="center"/>
    </xf>
    <xf numFmtId="0" fontId="7" fillId="0" borderId="0" xfId="0" applyFont="1"/>
    <xf numFmtId="168" fontId="7" fillId="0" borderId="0" xfId="0" applyNumberFormat="1" applyFont="1"/>
    <xf numFmtId="164" fontId="14" fillId="0" borderId="0" xfId="0" applyNumberFormat="1" applyFont="1"/>
    <xf numFmtId="0" fontId="5" fillId="2" borderId="0" xfId="0" applyFont="1" applyFill="1"/>
    <xf numFmtId="2" fontId="9" fillId="2" borderId="0" xfId="3" applyNumberFormat="1" applyFont="1" applyFill="1" applyAlignment="1" applyProtection="1">
      <alignment horizontal="center"/>
    </xf>
    <xf numFmtId="164" fontId="9" fillId="2" borderId="0" xfId="3" applyNumberFormat="1" applyFont="1" applyFill="1" applyBorder="1" applyAlignment="1" applyProtection="1">
      <alignment horizontal="center"/>
    </xf>
    <xf numFmtId="0" fontId="9" fillId="2" borderId="0" xfId="3" applyFont="1" applyFill="1" applyBorder="1" applyProtection="1"/>
    <xf numFmtId="0" fontId="9" fillId="2" borderId="0" xfId="3" applyFont="1" applyFill="1" applyAlignment="1" applyProtection="1">
      <alignment horizontal="left"/>
    </xf>
    <xf numFmtId="0" fontId="9" fillId="2" borderId="0" xfId="3" applyFont="1" applyFill="1" applyAlignment="1" applyProtection="1">
      <alignment horizontal="center"/>
    </xf>
    <xf numFmtId="164" fontId="9" fillId="2" borderId="0" xfId="3" applyNumberFormat="1" applyFont="1" applyFill="1" applyAlignment="1" applyProtection="1">
      <alignment horizontal="center"/>
    </xf>
    <xf numFmtId="0" fontId="6" fillId="2" borderId="0" xfId="0" applyFont="1" applyFill="1" applyAlignment="1">
      <alignment horizontal="left"/>
    </xf>
    <xf numFmtId="9" fontId="8" fillId="2" borderId="0" xfId="2" applyFont="1" applyFill="1" applyBorder="1" applyProtection="1"/>
    <xf numFmtId="164" fontId="5" fillId="0" borderId="3" xfId="0" applyNumberFormat="1" applyFont="1" applyBorder="1" applyAlignment="1" applyProtection="1">
      <alignment horizontal="center"/>
      <protection locked="0"/>
    </xf>
    <xf numFmtId="0" fontId="5" fillId="0" borderId="3" xfId="0" applyFont="1" applyBorder="1" applyAlignment="1" applyProtection="1">
      <alignment horizontal="center"/>
      <protection locked="0"/>
    </xf>
    <xf numFmtId="164" fontId="26" fillId="0" borderId="5" xfId="0" applyNumberFormat="1" applyFont="1" applyBorder="1" applyProtection="1">
      <protection locked="0"/>
    </xf>
    <xf numFmtId="44" fontId="26" fillId="0" borderId="3" xfId="1" applyFont="1" applyFill="1" applyBorder="1" applyProtection="1">
      <protection locked="0"/>
    </xf>
    <xf numFmtId="0" fontId="3" fillId="0" borderId="0" xfId="0" applyFont="1"/>
    <xf numFmtId="0" fontId="4" fillId="0" borderId="0" xfId="0" applyFont="1"/>
    <xf numFmtId="0" fontId="6" fillId="0" borderId="0" xfId="0" applyFont="1" applyAlignment="1">
      <alignment horizontal="left"/>
    </xf>
    <xf numFmtId="0" fontId="8" fillId="0" borderId="3" xfId="0" applyFont="1" applyBorder="1"/>
    <xf numFmtId="164" fontId="8" fillId="0" borderId="3" xfId="0" applyNumberFormat="1" applyFont="1" applyBorder="1"/>
    <xf numFmtId="0" fontId="6" fillId="0" borderId="0" xfId="0" applyFont="1"/>
    <xf numFmtId="0" fontId="5" fillId="0" borderId="3" xfId="0" applyFont="1" applyBorder="1"/>
    <xf numFmtId="0" fontId="8" fillId="0" borderId="3" xfId="3" applyFont="1" applyFill="1" applyBorder="1" applyProtection="1"/>
    <xf numFmtId="3" fontId="8" fillId="0" borderId="3" xfId="0" applyNumberFormat="1" applyFont="1" applyBorder="1"/>
    <xf numFmtId="164" fontId="10" fillId="0" borderId="0" xfId="0" applyNumberFormat="1" applyFont="1"/>
    <xf numFmtId="0" fontId="6" fillId="2" borderId="1" xfId="0" applyFont="1" applyFill="1" applyBorder="1"/>
    <xf numFmtId="0" fontId="5" fillId="2" borderId="1" xfId="0" applyFont="1" applyFill="1" applyBorder="1"/>
    <xf numFmtId="164" fontId="8" fillId="0" borderId="2" xfId="0" applyNumberFormat="1" applyFont="1" applyBorder="1" applyAlignment="1">
      <alignment horizontal="center"/>
    </xf>
    <xf numFmtId="0" fontId="6" fillId="2" borderId="2" xfId="0" applyFont="1" applyFill="1" applyBorder="1"/>
    <xf numFmtId="0" fontId="6" fillId="2" borderId="2" xfId="0" applyFont="1" applyFill="1" applyBorder="1" applyAlignment="1">
      <alignment horizontal="center"/>
    </xf>
    <xf numFmtId="164" fontId="6" fillId="2" borderId="2" xfId="0" applyNumberFormat="1" applyFont="1" applyFill="1" applyBorder="1" applyAlignment="1">
      <alignment horizontal="center"/>
    </xf>
    <xf numFmtId="164" fontId="6" fillId="2" borderId="2" xfId="0" applyNumberFormat="1" applyFont="1" applyFill="1" applyBorder="1" applyAlignment="1">
      <alignment horizontal="right"/>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1" fontId="5" fillId="2" borderId="0" xfId="0" applyNumberFormat="1" applyFont="1" applyFill="1" applyAlignment="1">
      <alignment horizontal="center"/>
    </xf>
    <xf numFmtId="164" fontId="5" fillId="0" borderId="0" xfId="0" applyNumberFormat="1" applyFont="1" applyAlignment="1">
      <alignment horizontal="center"/>
    </xf>
    <xf numFmtId="0" fontId="10" fillId="0" borderId="0" xfId="0" applyFont="1"/>
    <xf numFmtId="2" fontId="5" fillId="0" borderId="0" xfId="0" applyNumberFormat="1" applyFont="1" applyAlignment="1">
      <alignment horizontal="center"/>
    </xf>
    <xf numFmtId="0" fontId="5" fillId="0" borderId="0" xfId="0" applyFont="1" applyAlignment="1">
      <alignment horizontal="center"/>
    </xf>
    <xf numFmtId="9" fontId="5" fillId="0" borderId="0" xfId="0" applyNumberFormat="1" applyFont="1" applyAlignment="1">
      <alignment horizontal="center"/>
    </xf>
    <xf numFmtId="0" fontId="5" fillId="0" borderId="1" xfId="0" applyFont="1" applyBorder="1"/>
    <xf numFmtId="0" fontId="6" fillId="2" borderId="0" xfId="0" applyFont="1" applyFill="1"/>
    <xf numFmtId="0" fontId="6" fillId="2" borderId="0" xfId="0" applyFont="1" applyFill="1" applyAlignment="1">
      <alignment horizontal="center"/>
    </xf>
    <xf numFmtId="164" fontId="6" fillId="2" borderId="0" xfId="0" applyNumberFormat="1" applyFont="1" applyFill="1" applyAlignment="1">
      <alignment horizontal="right"/>
    </xf>
    <xf numFmtId="44" fontId="5" fillId="0" borderId="0" xfId="0" applyNumberFormat="1" applyFont="1" applyAlignment="1">
      <alignment horizontal="left"/>
    </xf>
    <xf numFmtId="3" fontId="5" fillId="0" borderId="0" xfId="0" applyNumberFormat="1" applyFont="1" applyAlignment="1">
      <alignment horizontal="left"/>
    </xf>
    <xf numFmtId="44"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164" fontId="6" fillId="2" borderId="0" xfId="0" applyNumberFormat="1" applyFont="1" applyFill="1"/>
    <xf numFmtId="164" fontId="5" fillId="0" borderId="0" xfId="0" applyNumberFormat="1" applyFont="1"/>
    <xf numFmtId="1" fontId="6" fillId="2" borderId="0" xfId="0" applyNumberFormat="1" applyFont="1" applyFill="1"/>
    <xf numFmtId="0" fontId="3" fillId="0" borderId="0" xfId="0" applyFont="1" applyProtection="1">
      <protection locked="0"/>
    </xf>
    <xf numFmtId="0" fontId="4" fillId="0" borderId="0" xfId="0" applyFont="1" applyProtection="1">
      <protection locked="0"/>
    </xf>
    <xf numFmtId="0" fontId="5" fillId="0" borderId="0" xfId="0" applyFont="1" applyProtection="1">
      <protection locked="0"/>
    </xf>
    <xf numFmtId="0" fontId="18" fillId="0" borderId="1" xfId="0" applyFont="1" applyBorder="1" applyProtection="1">
      <protection locked="0"/>
    </xf>
    <xf numFmtId="0" fontId="6" fillId="0" borderId="0" xfId="0" applyFont="1" applyProtection="1">
      <protection locked="0"/>
    </xf>
    <xf numFmtId="44" fontId="6" fillId="0" borderId="0" xfId="1" applyFont="1" applyProtection="1">
      <protection locked="0"/>
    </xf>
    <xf numFmtId="0" fontId="6" fillId="2" borderId="0" xfId="0" applyFont="1" applyFill="1" applyProtection="1">
      <protection locked="0"/>
    </xf>
    <xf numFmtId="2" fontId="5" fillId="0" borderId="0" xfId="0" applyNumberFormat="1" applyFont="1" applyProtection="1">
      <protection locked="0"/>
    </xf>
    <xf numFmtId="4" fontId="5" fillId="0" borderId="0" xfId="0" applyNumberFormat="1" applyFont="1" applyProtection="1">
      <protection locked="0"/>
    </xf>
    <xf numFmtId="0" fontId="6" fillId="2" borderId="0" xfId="0" applyFont="1" applyFill="1" applyAlignment="1" applyProtection="1">
      <alignment horizontal="right"/>
      <protection locked="0"/>
    </xf>
    <xf numFmtId="0" fontId="6" fillId="2" borderId="0" xfId="0" applyFont="1" applyFill="1" applyAlignment="1" applyProtection="1">
      <alignment horizontal="center"/>
      <protection locked="0"/>
    </xf>
    <xf numFmtId="0" fontId="6" fillId="2" borderId="0" xfId="0" applyFont="1" applyFill="1" applyAlignment="1" applyProtection="1">
      <alignment horizontal="left"/>
      <protection locked="0"/>
    </xf>
    <xf numFmtId="0" fontId="6" fillId="2" borderId="0" xfId="0" applyFont="1" applyFill="1" applyAlignment="1" applyProtection="1">
      <alignment horizontal="right" wrapText="1"/>
      <protection locked="0"/>
    </xf>
    <xf numFmtId="0" fontId="6" fillId="2" borderId="0" xfId="0" applyFont="1" applyFill="1" applyAlignment="1" applyProtection="1">
      <alignment horizontal="center" wrapText="1"/>
      <protection locked="0"/>
    </xf>
    <xf numFmtId="0" fontId="6" fillId="2" borderId="0" xfId="0" applyFont="1" applyFill="1" applyAlignment="1" applyProtection="1">
      <alignment horizontal="left" wrapText="1"/>
      <protection locked="0"/>
    </xf>
    <xf numFmtId="0" fontId="5" fillId="2" borderId="0" xfId="0" applyFont="1" applyFill="1" applyProtection="1">
      <protection locked="0"/>
    </xf>
    <xf numFmtId="0" fontId="6" fillId="0" borderId="0" xfId="0" applyFont="1" applyAlignment="1" applyProtection="1">
      <alignment horizontal="center"/>
      <protection locked="0"/>
    </xf>
    <xf numFmtId="3" fontId="6" fillId="2" borderId="0" xfId="0" applyNumberFormat="1" applyFont="1" applyFill="1" applyAlignment="1" applyProtection="1">
      <alignment horizontal="center"/>
      <protection locked="0"/>
    </xf>
    <xf numFmtId="0" fontId="5" fillId="2" borderId="0" xfId="0" applyFont="1" applyFill="1" applyAlignment="1" applyProtection="1">
      <alignment horizontal="center"/>
      <protection locked="0"/>
    </xf>
    <xf numFmtId="1" fontId="5" fillId="2" borderId="0" xfId="0" applyNumberFormat="1" applyFont="1" applyFill="1" applyProtection="1">
      <protection locked="0"/>
    </xf>
    <xf numFmtId="1" fontId="5" fillId="2" borderId="0" xfId="0" applyNumberFormat="1" applyFont="1" applyFill="1" applyAlignment="1" applyProtection="1">
      <alignment horizontal="center"/>
      <protection locked="0"/>
    </xf>
    <xf numFmtId="165" fontId="5" fillId="0" borderId="0" xfId="0" applyNumberFormat="1" applyFont="1" applyAlignment="1" applyProtection="1">
      <alignment horizontal="center"/>
      <protection locked="0"/>
    </xf>
    <xf numFmtId="165" fontId="6" fillId="2" borderId="0" xfId="0" applyNumberFormat="1" applyFont="1" applyFill="1" applyAlignment="1" applyProtection="1">
      <alignment horizontal="center"/>
      <protection locked="0"/>
    </xf>
    <xf numFmtId="0" fontId="7" fillId="2" borderId="0" xfId="0" applyFont="1" applyFill="1" applyAlignment="1" applyProtection="1">
      <alignment horizontal="center"/>
      <protection locked="0"/>
    </xf>
    <xf numFmtId="165" fontId="5" fillId="2" borderId="0" xfId="0" applyNumberFormat="1" applyFont="1" applyFill="1" applyAlignment="1" applyProtection="1">
      <alignment horizontal="center"/>
      <protection locked="0"/>
    </xf>
    <xf numFmtId="164" fontId="5" fillId="2" borderId="0" xfId="0" applyNumberFormat="1" applyFont="1" applyFill="1" applyAlignment="1" applyProtection="1">
      <alignment horizontal="center"/>
      <protection locked="0"/>
    </xf>
    <xf numFmtId="164" fontId="5" fillId="2" borderId="0" xfId="0" applyNumberFormat="1" applyFont="1" applyFill="1" applyProtection="1">
      <protection locked="0"/>
    </xf>
    <xf numFmtId="0" fontId="10" fillId="2" borderId="0" xfId="0" applyFont="1" applyFill="1" applyAlignment="1" applyProtection="1">
      <alignment horizontal="center"/>
      <protection locked="0"/>
    </xf>
    <xf numFmtId="0" fontId="5"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1" fontId="6" fillId="2" borderId="0" xfId="0" applyNumberFormat="1" applyFont="1" applyFill="1" applyProtection="1">
      <protection locked="0"/>
    </xf>
    <xf numFmtId="164" fontId="10" fillId="2" borderId="0" xfId="0" applyNumberFormat="1" applyFont="1" applyFill="1" applyProtection="1">
      <protection locked="0"/>
    </xf>
    <xf numFmtId="1" fontId="6" fillId="2" borderId="0" xfId="0" applyNumberFormat="1" applyFont="1" applyFill="1" applyAlignment="1" applyProtection="1">
      <alignment horizontal="center"/>
      <protection locked="0"/>
    </xf>
    <xf numFmtId="164" fontId="6" fillId="2" borderId="0" xfId="0" applyNumberFormat="1" applyFont="1" applyFill="1" applyProtection="1">
      <protection locked="0"/>
    </xf>
    <xf numFmtId="0" fontId="21" fillId="0" borderId="0" xfId="0" applyFont="1" applyProtection="1">
      <protection locked="0"/>
    </xf>
    <xf numFmtId="0" fontId="22" fillId="0" borderId="0" xfId="0" applyFont="1" applyProtection="1">
      <protection locked="0"/>
    </xf>
    <xf numFmtId="0" fontId="23" fillId="0" borderId="0" xfId="0" applyFont="1" applyProtection="1">
      <protection locked="0"/>
    </xf>
    <xf numFmtId="0" fontId="24" fillId="0" borderId="4" xfId="0" applyFont="1" applyBorder="1" applyProtection="1">
      <protection locked="0"/>
    </xf>
    <xf numFmtId="0" fontId="23" fillId="0" borderId="4" xfId="0" applyFont="1" applyBorder="1" applyProtection="1">
      <protection locked="0"/>
    </xf>
    <xf numFmtId="0" fontId="25" fillId="0" borderId="0" xfId="0" applyFont="1" applyProtection="1">
      <protection locked="0"/>
    </xf>
    <xf numFmtId="0" fontId="26" fillId="2" borderId="15" xfId="0" applyFont="1" applyFill="1" applyBorder="1" applyProtection="1">
      <protection locked="0"/>
    </xf>
    <xf numFmtId="3" fontId="26" fillId="2" borderId="0" xfId="0" applyNumberFormat="1" applyFont="1" applyFill="1" applyProtection="1">
      <protection locked="0"/>
    </xf>
    <xf numFmtId="0" fontId="26" fillId="0" borderId="0" xfId="0" applyFont="1" applyProtection="1">
      <protection locked="0"/>
    </xf>
    <xf numFmtId="0" fontId="24" fillId="0" borderId="1" xfId="0" applyFont="1" applyBorder="1" applyProtection="1">
      <protection locked="0"/>
    </xf>
    <xf numFmtId="0" fontId="23" fillId="0" borderId="1" xfId="0" applyFont="1" applyBorder="1" applyProtection="1">
      <protection locked="0"/>
    </xf>
    <xf numFmtId="0" fontId="23" fillId="2" borderId="0" xfId="0" applyFont="1" applyFill="1" applyProtection="1">
      <protection locked="0"/>
    </xf>
    <xf numFmtId="164" fontId="26" fillId="2" borderId="2" xfId="0" applyNumberFormat="1" applyFont="1" applyFill="1" applyBorder="1" applyProtection="1">
      <protection locked="0"/>
    </xf>
    <xf numFmtId="0" fontId="23" fillId="2" borderId="0" xfId="0" applyFont="1" applyFill="1" applyAlignment="1" applyProtection="1">
      <alignment horizontal="right"/>
      <protection locked="0"/>
    </xf>
    <xf numFmtId="0" fontId="23" fillId="2" borderId="0" xfId="0" applyFont="1" applyFill="1" applyAlignment="1" applyProtection="1">
      <alignment horizontal="center"/>
      <protection locked="0"/>
    </xf>
    <xf numFmtId="164" fontId="23" fillId="2" borderId="0" xfId="0" applyNumberFormat="1" applyFont="1" applyFill="1" applyProtection="1">
      <protection locked="0"/>
    </xf>
    <xf numFmtId="0" fontId="23" fillId="2" borderId="6" xfId="0" applyFont="1" applyFill="1" applyBorder="1" applyAlignment="1" applyProtection="1">
      <alignment horizontal="right"/>
      <protection locked="0"/>
    </xf>
    <xf numFmtId="9" fontId="23" fillId="2" borderId="6" xfId="0" applyNumberFormat="1" applyFont="1" applyFill="1" applyBorder="1" applyAlignment="1" applyProtection="1">
      <alignment horizontal="center"/>
      <protection locked="0"/>
    </xf>
    <xf numFmtId="0" fontId="23" fillId="2" borderId="6" xfId="0" applyFont="1" applyFill="1" applyBorder="1" applyProtection="1">
      <protection locked="0"/>
    </xf>
    <xf numFmtId="164" fontId="23" fillId="2" borderId="6" xfId="0" applyNumberFormat="1" applyFont="1" applyFill="1" applyBorder="1" applyProtection="1">
      <protection locked="0"/>
    </xf>
    <xf numFmtId="164" fontId="23" fillId="2" borderId="0" xfId="1" applyNumberFormat="1" applyFont="1" applyFill="1" applyProtection="1">
      <protection locked="0"/>
    </xf>
    <xf numFmtId="164" fontId="23" fillId="0" borderId="0" xfId="0" applyNumberFormat="1" applyFont="1" applyProtection="1">
      <protection locked="0"/>
    </xf>
    <xf numFmtId="0" fontId="24" fillId="2" borderId="11" xfId="0" applyFont="1" applyFill="1" applyBorder="1" applyProtection="1">
      <protection locked="0"/>
    </xf>
    <xf numFmtId="0" fontId="23" fillId="2" borderId="2" xfId="0" applyFont="1" applyFill="1" applyBorder="1" applyAlignment="1" applyProtection="1">
      <alignment horizontal="center"/>
      <protection locked="0"/>
    </xf>
    <xf numFmtId="164" fontId="23" fillId="2" borderId="12" xfId="0" applyNumberFormat="1" applyFont="1" applyFill="1" applyBorder="1" applyAlignment="1" applyProtection="1">
      <alignment horizontal="center"/>
      <protection locked="0"/>
    </xf>
    <xf numFmtId="0" fontId="23" fillId="2" borderId="7" xfId="0" applyFont="1" applyFill="1" applyBorder="1" applyProtection="1">
      <protection locked="0"/>
    </xf>
    <xf numFmtId="164" fontId="23" fillId="2" borderId="8" xfId="0" applyNumberFormat="1" applyFont="1" applyFill="1" applyBorder="1" applyProtection="1">
      <protection locked="0"/>
    </xf>
    <xf numFmtId="0" fontId="23" fillId="2" borderId="13" xfId="0" applyFont="1" applyFill="1" applyBorder="1" applyProtection="1">
      <protection locked="0"/>
    </xf>
    <xf numFmtId="164" fontId="23" fillId="2" borderId="14" xfId="0" applyNumberFormat="1" applyFont="1" applyFill="1" applyBorder="1" applyProtection="1">
      <protection locked="0"/>
    </xf>
    <xf numFmtId="0" fontId="23" fillId="2" borderId="9" xfId="0" applyFont="1" applyFill="1" applyBorder="1" applyProtection="1">
      <protection locked="0"/>
    </xf>
    <xf numFmtId="0" fontId="23" fillId="2" borderId="1" xfId="0" applyFont="1" applyFill="1" applyBorder="1" applyProtection="1">
      <protection locked="0"/>
    </xf>
    <xf numFmtId="164" fontId="23" fillId="2" borderId="10" xfId="0" applyNumberFormat="1" applyFont="1" applyFill="1" applyBorder="1" applyProtection="1">
      <protection locked="0"/>
    </xf>
    <xf numFmtId="164" fontId="26" fillId="2" borderId="2" xfId="1" applyNumberFormat="1" applyFont="1" applyFill="1" applyBorder="1" applyProtection="1">
      <protection locked="0"/>
    </xf>
    <xf numFmtId="164" fontId="23" fillId="0" borderId="0" xfId="1" applyNumberFormat="1" applyFont="1" applyProtection="1">
      <protection locked="0"/>
    </xf>
    <xf numFmtId="164" fontId="23" fillId="2" borderId="8" xfId="1" applyNumberFormat="1" applyFont="1" applyFill="1" applyBorder="1" applyProtection="1">
      <protection locked="0"/>
    </xf>
    <xf numFmtId="0" fontId="13" fillId="2" borderId="4" xfId="0" applyFont="1" applyFill="1" applyBorder="1" applyProtection="1">
      <protection locked="0"/>
    </xf>
    <xf numFmtId="0" fontId="4" fillId="2" borderId="4" xfId="0" applyFont="1" applyFill="1" applyBorder="1" applyProtection="1">
      <protection locked="0"/>
    </xf>
    <xf numFmtId="0" fontId="13" fillId="2" borderId="0" xfId="0" applyFont="1" applyFill="1" applyProtection="1">
      <protection locked="0"/>
    </xf>
    <xf numFmtId="0" fontId="4" fillId="2" borderId="0" xfId="0" applyFont="1" applyFill="1" applyProtection="1">
      <protection locked="0"/>
    </xf>
    <xf numFmtId="0" fontId="12" fillId="2" borderId="0" xfId="0" applyFont="1" applyFill="1" applyProtection="1">
      <protection locked="0"/>
    </xf>
    <xf numFmtId="0" fontId="11" fillId="2" borderId="0" xfId="0" applyFont="1" applyFill="1" applyProtection="1">
      <protection locked="0"/>
    </xf>
    <xf numFmtId="164" fontId="4" fillId="2" borderId="0" xfId="0" applyNumberFormat="1" applyFont="1" applyFill="1" applyProtection="1">
      <protection locked="0"/>
    </xf>
    <xf numFmtId="0" fontId="11" fillId="2" borderId="1" xfId="0" applyFont="1" applyFill="1" applyBorder="1" applyProtection="1">
      <protection locked="0"/>
    </xf>
    <xf numFmtId="164" fontId="4" fillId="2" borderId="1" xfId="0" applyNumberFormat="1" applyFont="1" applyFill="1" applyBorder="1" applyProtection="1">
      <protection locked="0"/>
    </xf>
    <xf numFmtId="166" fontId="4" fillId="2" borderId="0" xfId="0" applyNumberFormat="1" applyFont="1" applyFill="1" applyProtection="1">
      <protection locked="0"/>
    </xf>
    <xf numFmtId="0" fontId="11" fillId="2" borderId="4" xfId="0" applyFont="1" applyFill="1" applyBorder="1" applyProtection="1">
      <protection locked="0"/>
    </xf>
    <xf numFmtId="166" fontId="4" fillId="2" borderId="4" xfId="0" applyNumberFormat="1" applyFont="1" applyFill="1" applyBorder="1" applyProtection="1">
      <protection locked="0"/>
    </xf>
    <xf numFmtId="167" fontId="11" fillId="2" borderId="0" xfId="0" applyNumberFormat="1" applyFont="1" applyFill="1" applyProtection="1">
      <protection locked="0"/>
    </xf>
    <xf numFmtId="167" fontId="4" fillId="2" borderId="0" xfId="0" applyNumberFormat="1" applyFont="1" applyFill="1" applyProtection="1">
      <protection locked="0"/>
    </xf>
    <xf numFmtId="0" fontId="5" fillId="0" borderId="0" xfId="0" applyFont="1" applyAlignment="1">
      <alignment horizontal="left" vertical="top" wrapText="1"/>
    </xf>
    <xf numFmtId="0" fontId="5" fillId="0" borderId="0" xfId="0" applyFont="1" applyAlignment="1">
      <alignment horizontal="left" vertical="top"/>
    </xf>
    <xf numFmtId="0" fontId="18" fillId="0" borderId="4" xfId="0" applyFont="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628B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ncfarmschool.ces.ncsu.edu/"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1409700</xdr:colOff>
      <xdr:row>0</xdr:row>
      <xdr:rowOff>1347232</xdr:rowOff>
    </xdr:to>
    <xdr:pic>
      <xdr:nvPicPr>
        <xdr:cNvPr id="8" name="Picture 7">
          <a:hlinkClick xmlns:r="http://schemas.openxmlformats.org/officeDocument/2006/relationships" r:id="rId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0" y="0"/>
          <a:ext cx="4438650" cy="1347232"/>
        </a:xfrm>
        <a:prstGeom prst="rect">
          <a:avLst/>
        </a:prstGeom>
      </xdr:spPr>
    </xdr:pic>
    <xdr:clientData/>
  </xdr:twoCellAnchor>
  <xdr:twoCellAnchor editAs="oneCell">
    <xdr:from>
      <xdr:col>5</xdr:col>
      <xdr:colOff>1581150</xdr:colOff>
      <xdr:row>0</xdr:row>
      <xdr:rowOff>0</xdr:rowOff>
    </xdr:from>
    <xdr:to>
      <xdr:col>5</xdr:col>
      <xdr:colOff>2857500</xdr:colOff>
      <xdr:row>0</xdr:row>
      <xdr:rowOff>1396180</xdr:rowOff>
    </xdr:to>
    <xdr:pic>
      <xdr:nvPicPr>
        <xdr:cNvPr id="9" name="Picture 8">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20850" y="0"/>
          <a:ext cx="1276350" cy="1396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3"/>
  <sheetViews>
    <sheetView tabSelected="1" zoomScale="50" zoomScaleNormal="50" workbookViewId="0">
      <selection activeCell="F44" sqref="F44"/>
    </sheetView>
  </sheetViews>
  <sheetFormatPr defaultColWidth="8.85546875" defaultRowHeight="25.5" x14ac:dyDescent="0.35"/>
  <cols>
    <col min="1" max="1" width="7" style="6" customWidth="1"/>
    <col min="2" max="4" width="45.42578125" style="6" customWidth="1"/>
    <col min="5" max="5" width="49" style="6" customWidth="1"/>
    <col min="6" max="6" width="45.42578125" style="6" customWidth="1"/>
    <col min="7" max="7" width="10.7109375" style="6" customWidth="1"/>
    <col min="8" max="8" width="14.85546875" style="6" customWidth="1"/>
    <col min="9" max="16384" width="8.85546875" style="6"/>
  </cols>
  <sheetData>
    <row r="1" spans="1:16" s="30" customFormat="1" ht="114" customHeight="1" x14ac:dyDescent="0.2">
      <c r="A1" s="29"/>
      <c r="B1" s="29"/>
      <c r="C1" s="29"/>
      <c r="D1" s="29"/>
      <c r="E1" s="29"/>
      <c r="F1" s="29"/>
    </row>
    <row r="2" spans="1:16" ht="53.25" customHeight="1" thickBot="1" x14ac:dyDescent="0.65">
      <c r="B2" s="150" t="s">
        <v>30</v>
      </c>
      <c r="C2" s="150"/>
      <c r="D2" s="150"/>
      <c r="E2" s="150"/>
      <c r="F2" s="150"/>
    </row>
    <row r="3" spans="1:16" ht="36" customHeight="1" thickBot="1" x14ac:dyDescent="0.45">
      <c r="B3" s="31" t="s">
        <v>106</v>
      </c>
      <c r="C3" s="32">
        <v>0</v>
      </c>
      <c r="E3" s="31" t="s">
        <v>113</v>
      </c>
      <c r="F3" s="32">
        <v>0</v>
      </c>
    </row>
    <row r="4" spans="1:16" ht="36" customHeight="1" thickBot="1" x14ac:dyDescent="0.45">
      <c r="B4" s="31" t="s">
        <v>82</v>
      </c>
      <c r="C4" s="32">
        <v>4.5</v>
      </c>
      <c r="E4" s="31" t="s">
        <v>127</v>
      </c>
      <c r="F4" s="32">
        <v>0</v>
      </c>
    </row>
    <row r="5" spans="1:16" ht="36" customHeight="1" thickBot="1" x14ac:dyDescent="0.45">
      <c r="B5" s="31" t="s">
        <v>83</v>
      </c>
      <c r="C5" s="33">
        <v>0</v>
      </c>
      <c r="E5" s="34" t="s">
        <v>128</v>
      </c>
      <c r="F5" s="35">
        <v>5</v>
      </c>
    </row>
    <row r="6" spans="1:16" ht="36" customHeight="1" thickBot="1" x14ac:dyDescent="0.45">
      <c r="B6" s="11" t="s">
        <v>114</v>
      </c>
      <c r="C6" s="36">
        <v>6</v>
      </c>
      <c r="E6" s="34" t="s">
        <v>58</v>
      </c>
      <c r="F6" s="37">
        <v>0</v>
      </c>
    </row>
    <row r="7" spans="1:16" ht="36" customHeight="1" thickBot="1" x14ac:dyDescent="0.45">
      <c r="B7" s="23" t="s">
        <v>59</v>
      </c>
      <c r="C7" s="24">
        <f>F6/C6</f>
        <v>0</v>
      </c>
      <c r="E7" s="34" t="s">
        <v>125</v>
      </c>
      <c r="F7" s="35">
        <v>4</v>
      </c>
    </row>
    <row r="8" spans="1:16" ht="36" customHeight="1" x14ac:dyDescent="0.4">
      <c r="F8" s="38"/>
    </row>
    <row r="9" spans="1:16" ht="42" customHeight="1" x14ac:dyDescent="0.4">
      <c r="B9" s="39" t="s">
        <v>0</v>
      </c>
      <c r="C9" s="40" t="s">
        <v>1</v>
      </c>
      <c r="D9" s="40" t="s">
        <v>35</v>
      </c>
      <c r="E9" s="16" t="s">
        <v>3</v>
      </c>
      <c r="F9" s="40" t="s">
        <v>64</v>
      </c>
    </row>
    <row r="10" spans="1:16" ht="26.25" x14ac:dyDescent="0.4">
      <c r="B10" s="16" t="s">
        <v>2</v>
      </c>
      <c r="C10" s="16" t="s">
        <v>108</v>
      </c>
      <c r="D10" s="4">
        <f>(((C6-F6)*F5)*(52-F7))/12</f>
        <v>120</v>
      </c>
      <c r="E10" s="41">
        <v>4.55</v>
      </c>
      <c r="F10" s="8">
        <f>+D10*E10</f>
        <v>546</v>
      </c>
      <c r="L10" s="34"/>
      <c r="P10" s="34"/>
    </row>
    <row r="11" spans="1:16" x14ac:dyDescent="0.35">
      <c r="B11" s="16" t="s">
        <v>4</v>
      </c>
      <c r="C11" s="16" t="s">
        <v>5</v>
      </c>
      <c r="D11" s="12">
        <f>C6*(1-C7)</f>
        <v>6</v>
      </c>
      <c r="E11" s="10">
        <f>C4*C5</f>
        <v>0</v>
      </c>
      <c r="F11" s="8">
        <f>D11*E11</f>
        <v>0</v>
      </c>
    </row>
    <row r="12" spans="1:16" ht="42" customHeight="1" x14ac:dyDescent="0.4">
      <c r="B12" s="42" t="s">
        <v>20</v>
      </c>
      <c r="C12" s="42"/>
      <c r="D12" s="43"/>
      <c r="E12" s="44"/>
      <c r="F12" s="45">
        <f>SUM(F10:F11)</f>
        <v>546</v>
      </c>
    </row>
    <row r="13" spans="1:16" ht="42" customHeight="1" x14ac:dyDescent="0.4">
      <c r="B13" s="39" t="s">
        <v>6</v>
      </c>
      <c r="C13" s="40" t="s">
        <v>1</v>
      </c>
      <c r="D13" s="46" t="s">
        <v>34</v>
      </c>
      <c r="E13" s="47" t="s">
        <v>65</v>
      </c>
      <c r="F13" s="47" t="s">
        <v>64</v>
      </c>
    </row>
    <row r="14" spans="1:16" x14ac:dyDescent="0.35">
      <c r="B14" s="19" t="s">
        <v>103</v>
      </c>
      <c r="C14" s="20"/>
      <c r="D14" s="21">
        <f>'Chicks VS Pullets'!E7</f>
        <v>6</v>
      </c>
      <c r="E14" s="22">
        <f>'Chicks VS Pullets'!E14</f>
        <v>8.0749999999999993</v>
      </c>
      <c r="F14" s="7">
        <f>D14*E14</f>
        <v>48.449999999999996</v>
      </c>
    </row>
    <row r="15" spans="1:16" x14ac:dyDescent="0.35">
      <c r="B15" s="19" t="s">
        <v>111</v>
      </c>
      <c r="C15" s="21" t="s">
        <v>84</v>
      </c>
      <c r="D15" s="17"/>
      <c r="E15" s="18"/>
      <c r="F15" s="7">
        <f>'Feed Cost'!E48*12</f>
        <v>243</v>
      </c>
    </row>
    <row r="16" spans="1:16" x14ac:dyDescent="0.35">
      <c r="B16" s="16" t="s">
        <v>8</v>
      </c>
      <c r="C16" s="5" t="s">
        <v>97</v>
      </c>
      <c r="D16" s="48">
        <f>C6*(1-C7)</f>
        <v>6</v>
      </c>
      <c r="E16" s="49">
        <v>1</v>
      </c>
      <c r="F16" s="8">
        <f>D16*E16</f>
        <v>6</v>
      </c>
    </row>
    <row r="17" spans="2:12" x14ac:dyDescent="0.35">
      <c r="B17" s="16" t="s">
        <v>9</v>
      </c>
      <c r="C17" s="5" t="s">
        <v>13</v>
      </c>
      <c r="D17" s="4">
        <f>D10</f>
        <v>120</v>
      </c>
      <c r="E17" s="49">
        <v>0</v>
      </c>
      <c r="F17" s="8">
        <f t="shared" ref="F17:F18" si="0">+D17*E17</f>
        <v>0</v>
      </c>
    </row>
    <row r="18" spans="2:12" x14ac:dyDescent="0.35">
      <c r="B18" s="16" t="s">
        <v>18</v>
      </c>
      <c r="C18" s="5" t="s">
        <v>13</v>
      </c>
      <c r="D18" s="4">
        <f>C6*(1-C7)</f>
        <v>6</v>
      </c>
      <c r="E18" s="49">
        <v>0</v>
      </c>
      <c r="F18" s="8">
        <f t="shared" si="0"/>
        <v>0</v>
      </c>
    </row>
    <row r="19" spans="2:12" ht="26.25" x14ac:dyDescent="0.4">
      <c r="B19" s="16" t="s">
        <v>115</v>
      </c>
      <c r="C19" s="5" t="s">
        <v>27</v>
      </c>
      <c r="D19" s="5">
        <f>F4*52</f>
        <v>0</v>
      </c>
      <c r="E19" s="49">
        <v>8</v>
      </c>
      <c r="F19" s="8">
        <f>D19*E19</f>
        <v>0</v>
      </c>
      <c r="L19" s="50"/>
    </row>
    <row r="20" spans="2:12" ht="26.25" x14ac:dyDescent="0.4">
      <c r="B20" s="16" t="s">
        <v>116</v>
      </c>
      <c r="C20" s="5" t="s">
        <v>104</v>
      </c>
      <c r="D20" s="51">
        <v>0</v>
      </c>
      <c r="E20" s="49">
        <v>10</v>
      </c>
      <c r="F20" s="8">
        <f t="shared" ref="F20:F27" si="1">D20*E20</f>
        <v>0</v>
      </c>
      <c r="L20" s="50"/>
    </row>
    <row r="21" spans="2:12" ht="26.25" x14ac:dyDescent="0.4">
      <c r="B21" s="16" t="s">
        <v>119</v>
      </c>
      <c r="C21" s="52" t="s">
        <v>39</v>
      </c>
      <c r="D21" s="52">
        <v>1</v>
      </c>
      <c r="E21" s="49">
        <v>50</v>
      </c>
      <c r="F21" s="8">
        <f>D21*E21</f>
        <v>50</v>
      </c>
      <c r="L21" s="50"/>
    </row>
    <row r="22" spans="2:12" ht="26.25" x14ac:dyDescent="0.4">
      <c r="B22" s="16" t="s">
        <v>17</v>
      </c>
      <c r="C22" s="52" t="s">
        <v>38</v>
      </c>
      <c r="D22" s="52">
        <v>12</v>
      </c>
      <c r="E22" s="49">
        <v>5</v>
      </c>
      <c r="F22" s="8">
        <f>D22*E22</f>
        <v>60</v>
      </c>
      <c r="L22" s="50"/>
    </row>
    <row r="23" spans="2:12" ht="26.25" x14ac:dyDescent="0.4">
      <c r="B23" s="16" t="s">
        <v>7</v>
      </c>
      <c r="C23" s="52" t="s">
        <v>98</v>
      </c>
      <c r="D23" s="52">
        <v>1</v>
      </c>
      <c r="E23" s="53">
        <v>0.01</v>
      </c>
      <c r="F23" s="8">
        <f>(SUM(C31:C35)*E23)*D23</f>
        <v>34</v>
      </c>
      <c r="L23" s="50"/>
    </row>
    <row r="24" spans="2:12" ht="26.25" x14ac:dyDescent="0.4">
      <c r="B24" s="16" t="s">
        <v>21</v>
      </c>
      <c r="C24" s="52" t="s">
        <v>29</v>
      </c>
      <c r="D24" s="52">
        <v>35</v>
      </c>
      <c r="E24" s="49">
        <v>0</v>
      </c>
      <c r="F24" s="8">
        <f>D24*E24</f>
        <v>0</v>
      </c>
      <c r="L24" s="50"/>
    </row>
    <row r="25" spans="2:12" ht="26.25" x14ac:dyDescent="0.4">
      <c r="C25" s="52"/>
      <c r="D25" s="52"/>
      <c r="E25" s="49"/>
      <c r="F25" s="8">
        <f>D25*E25</f>
        <v>0</v>
      </c>
      <c r="L25" s="50"/>
    </row>
    <row r="26" spans="2:12" x14ac:dyDescent="0.35">
      <c r="C26" s="52"/>
      <c r="D26" s="52"/>
      <c r="E26" s="49"/>
      <c r="F26" s="8">
        <f t="shared" si="1"/>
        <v>0</v>
      </c>
    </row>
    <row r="27" spans="2:12" x14ac:dyDescent="0.35">
      <c r="B27" s="54"/>
      <c r="C27" s="54"/>
      <c r="D27" s="54"/>
      <c r="E27" s="54"/>
      <c r="F27" s="9">
        <f t="shared" si="1"/>
        <v>0</v>
      </c>
    </row>
    <row r="28" spans="2:12" ht="26.25" x14ac:dyDescent="0.4">
      <c r="B28" s="55" t="s">
        <v>10</v>
      </c>
      <c r="C28" s="55"/>
      <c r="D28" s="56"/>
      <c r="E28" s="56"/>
      <c r="F28" s="57">
        <f>SUM(F14:F26)</f>
        <v>441.45</v>
      </c>
    </row>
    <row r="29" spans="2:12" x14ac:dyDescent="0.35">
      <c r="B29" s="16"/>
      <c r="C29" s="16"/>
      <c r="D29" s="5"/>
      <c r="E29" s="5"/>
      <c r="F29" s="5"/>
    </row>
    <row r="30" spans="2:12" ht="42" customHeight="1" x14ac:dyDescent="0.4">
      <c r="B30" s="39" t="s">
        <v>11</v>
      </c>
      <c r="C30" s="40" t="s">
        <v>33</v>
      </c>
      <c r="D30" s="40" t="s">
        <v>34</v>
      </c>
      <c r="E30" s="46" t="s">
        <v>122</v>
      </c>
      <c r="F30" s="46"/>
    </row>
    <row r="31" spans="2:12" x14ac:dyDescent="0.35">
      <c r="B31" s="16" t="s">
        <v>121</v>
      </c>
      <c r="C31" s="58">
        <v>500</v>
      </c>
      <c r="D31" s="52">
        <v>1</v>
      </c>
      <c r="E31" s="52">
        <v>10</v>
      </c>
      <c r="F31" s="8">
        <f>IF(C31=0, 0,(C31*D31)/E31)</f>
        <v>50</v>
      </c>
    </row>
    <row r="32" spans="2:12" x14ac:dyDescent="0.35">
      <c r="B32" s="16" t="s">
        <v>36</v>
      </c>
      <c r="C32" s="58">
        <v>1200</v>
      </c>
      <c r="D32" s="52">
        <v>1</v>
      </c>
      <c r="E32" s="52">
        <v>10</v>
      </c>
      <c r="F32" s="8">
        <f t="shared" ref="F32:F39" si="2">IF(C32=0, 0,(C32*D32)/E32)</f>
        <v>120</v>
      </c>
    </row>
    <row r="33" spans="2:6" x14ac:dyDescent="0.35">
      <c r="B33" s="16" t="s">
        <v>118</v>
      </c>
      <c r="C33" s="58">
        <v>500</v>
      </c>
      <c r="D33" s="52">
        <v>1</v>
      </c>
      <c r="E33" s="52">
        <v>5</v>
      </c>
      <c r="F33" s="8">
        <f t="shared" si="2"/>
        <v>100</v>
      </c>
    </row>
    <row r="34" spans="2:6" x14ac:dyDescent="0.35">
      <c r="B34" s="16" t="s">
        <v>37</v>
      </c>
      <c r="C34" s="58">
        <v>200</v>
      </c>
      <c r="D34" s="52">
        <v>1</v>
      </c>
      <c r="E34" s="52">
        <v>5</v>
      </c>
      <c r="F34" s="8">
        <f t="shared" si="2"/>
        <v>40</v>
      </c>
    </row>
    <row r="35" spans="2:6" x14ac:dyDescent="0.35">
      <c r="B35" s="16" t="s">
        <v>12</v>
      </c>
      <c r="C35" s="58">
        <v>1000</v>
      </c>
      <c r="D35" s="52">
        <v>1</v>
      </c>
      <c r="E35" s="52">
        <v>10</v>
      </c>
      <c r="F35" s="8">
        <f t="shared" si="2"/>
        <v>100</v>
      </c>
    </row>
    <row r="36" spans="2:6" x14ac:dyDescent="0.35">
      <c r="C36" s="58"/>
      <c r="D36" s="59"/>
      <c r="E36" s="52"/>
      <c r="F36" s="8">
        <f t="shared" si="2"/>
        <v>0</v>
      </c>
    </row>
    <row r="37" spans="2:6" x14ac:dyDescent="0.35">
      <c r="C37" s="58"/>
      <c r="D37" s="59"/>
      <c r="E37" s="52"/>
      <c r="F37" s="8">
        <f t="shared" si="2"/>
        <v>0</v>
      </c>
    </row>
    <row r="38" spans="2:6" x14ac:dyDescent="0.35">
      <c r="C38" s="58"/>
      <c r="D38" s="59"/>
      <c r="E38" s="52"/>
      <c r="F38" s="8">
        <f t="shared" si="2"/>
        <v>0</v>
      </c>
    </row>
    <row r="39" spans="2:6" x14ac:dyDescent="0.35">
      <c r="C39" s="58"/>
      <c r="D39" s="59"/>
      <c r="E39" s="52"/>
      <c r="F39" s="8">
        <f t="shared" si="2"/>
        <v>0</v>
      </c>
    </row>
    <row r="40" spans="2:6" x14ac:dyDescent="0.35">
      <c r="B40" s="40" t="s">
        <v>107</v>
      </c>
      <c r="C40" s="60">
        <f>F3</f>
        <v>0</v>
      </c>
      <c r="D40" s="61">
        <f>C3</f>
        <v>0</v>
      </c>
      <c r="E40" s="46"/>
      <c r="F40" s="9">
        <f>C40*D40</f>
        <v>0</v>
      </c>
    </row>
    <row r="41" spans="2:6" ht="42" customHeight="1" x14ac:dyDescent="0.4">
      <c r="B41" s="55" t="s">
        <v>14</v>
      </c>
      <c r="C41" s="55"/>
      <c r="D41" s="55"/>
      <c r="E41" s="55"/>
      <c r="F41" s="57">
        <f>SUM(F31:F35)</f>
        <v>410</v>
      </c>
    </row>
    <row r="42" spans="2:6" ht="42" customHeight="1" x14ac:dyDescent="0.4">
      <c r="B42" s="55" t="s">
        <v>15</v>
      </c>
      <c r="C42" s="55"/>
      <c r="D42" s="55"/>
      <c r="E42" s="55"/>
      <c r="F42" s="62">
        <f>+F28+F41</f>
        <v>851.45</v>
      </c>
    </row>
    <row r="43" spans="2:6" ht="42" customHeight="1" x14ac:dyDescent="0.4">
      <c r="B43" s="55" t="s">
        <v>16</v>
      </c>
      <c r="C43" s="55"/>
      <c r="D43" s="55"/>
      <c r="E43" s="55"/>
      <c r="F43" s="62">
        <f>+F12-F42</f>
        <v>-305.45000000000005</v>
      </c>
    </row>
    <row r="44" spans="2:6" ht="42" customHeight="1" x14ac:dyDescent="0.4">
      <c r="B44" s="55" t="s">
        <v>28</v>
      </c>
      <c r="C44" s="55"/>
      <c r="D44" s="55"/>
      <c r="E44" s="55"/>
      <c r="F44" s="62">
        <f>F42/(B46*52)</f>
        <v>7.0954166666666678</v>
      </c>
    </row>
    <row r="45" spans="2:6" ht="26.25" x14ac:dyDescent="0.4">
      <c r="B45" s="34"/>
      <c r="F45" s="63"/>
    </row>
    <row r="46" spans="2:6" ht="42" customHeight="1" x14ac:dyDescent="0.4">
      <c r="B46" s="64">
        <f>D10/52</f>
        <v>2.3076923076923075</v>
      </c>
      <c r="C46" s="55" t="s">
        <v>105</v>
      </c>
      <c r="D46" s="55"/>
      <c r="E46" s="16"/>
    </row>
    <row r="47" spans="2:6" s="13" customFormat="1" ht="18" x14ac:dyDescent="0.25">
      <c r="C47" s="14"/>
      <c r="F47" s="15"/>
    </row>
    <row r="48" spans="2:6" ht="54.95" customHeight="1" x14ac:dyDescent="0.35">
      <c r="B48" s="148" t="s">
        <v>110</v>
      </c>
      <c r="C48" s="148"/>
      <c r="D48" s="148"/>
      <c r="E48" s="148"/>
      <c r="F48" s="148"/>
    </row>
    <row r="49" spans="2:6" ht="54.95" customHeight="1" x14ac:dyDescent="0.35">
      <c r="B49" s="148" t="s">
        <v>112</v>
      </c>
      <c r="C49" s="148"/>
      <c r="D49" s="148"/>
      <c r="E49" s="148"/>
      <c r="F49" s="148"/>
    </row>
    <row r="50" spans="2:6" ht="54.95" customHeight="1" x14ac:dyDescent="0.35">
      <c r="B50" s="148" t="s">
        <v>145</v>
      </c>
      <c r="C50" s="148"/>
      <c r="D50" s="148"/>
      <c r="E50" s="148"/>
      <c r="F50" s="148"/>
    </row>
    <row r="51" spans="2:6" ht="54.95" customHeight="1" x14ac:dyDescent="0.35">
      <c r="B51" s="148" t="s">
        <v>120</v>
      </c>
      <c r="C51" s="148"/>
      <c r="D51" s="148"/>
      <c r="E51" s="148"/>
      <c r="F51" s="148"/>
    </row>
    <row r="52" spans="2:6" ht="54.95" customHeight="1" x14ac:dyDescent="0.35">
      <c r="B52" s="148" t="s">
        <v>109</v>
      </c>
      <c r="C52" s="148"/>
      <c r="D52" s="148"/>
      <c r="E52" s="148"/>
      <c r="F52" s="148"/>
    </row>
    <row r="53" spans="2:6" ht="54.95" customHeight="1" x14ac:dyDescent="0.35">
      <c r="B53" s="149" t="s">
        <v>117</v>
      </c>
      <c r="C53" s="149"/>
      <c r="D53" s="149"/>
      <c r="E53" s="149"/>
      <c r="F53" s="149"/>
    </row>
  </sheetData>
  <mergeCells count="7">
    <mergeCell ref="B52:F52"/>
    <mergeCell ref="B53:F53"/>
    <mergeCell ref="B51:F51"/>
    <mergeCell ref="B49:F49"/>
    <mergeCell ref="B2:F2"/>
    <mergeCell ref="B48:F48"/>
    <mergeCell ref="B50:F50"/>
  </mergeCells>
  <dataValidations count="3">
    <dataValidation type="whole" operator="greaterThanOrEqual" allowBlank="1" showInputMessage="1" showErrorMessage="1" sqref="J37 C24:C25 C31:C40 D40:E40" xr:uid="{00000000-0002-0000-0000-000000000000}">
      <formula1>0</formula1>
    </dataValidation>
    <dataValidation type="decimal" operator="greaterThanOrEqual" allowBlank="1" showInputMessage="1" showErrorMessage="1" sqref="C3:C6 F3:F7 F11 D31:E39 E10 D14:E27" xr:uid="{00000000-0002-0000-0000-000001000000}">
      <formula1>0</formula1>
    </dataValidation>
    <dataValidation operator="greaterThanOrEqual" allowBlank="1" showInputMessage="1" showErrorMessage="1" sqref="D11 C16:C17" xr:uid="{00000000-0002-0000-0000-000002000000}"/>
  </dataValidations>
  <hyperlinks>
    <hyperlink ref="B15:F15" location="'Feed Cost'!A1" display="Layer Feed**" xr:uid="{00000000-0004-0000-0000-000000000000}"/>
    <hyperlink ref="B14:F14" location="'Chicks VS Pullets'!A1" display="Cost of Raising Pullets*" xr:uid="{00000000-0004-0000-0000-000001000000}"/>
  </hyperlinks>
  <pageMargins left="0.7" right="0.7" top="0.75" bottom="0.75" header="0.3" footer="0.3"/>
  <pageSetup scale="35" orientation="portrait" r:id="rId1"/>
  <ignoredErrors>
    <ignoredError sqref="D40"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zoomScale="50" zoomScaleNormal="50" workbookViewId="0">
      <selection activeCell="E11" sqref="E11"/>
    </sheetView>
  </sheetViews>
  <sheetFormatPr defaultColWidth="8.85546875" defaultRowHeight="25.5" x14ac:dyDescent="0.35"/>
  <cols>
    <col min="1" max="1" width="8.85546875" style="67"/>
    <col min="2" max="2" width="54.7109375" style="67" customWidth="1"/>
    <col min="3" max="3" width="9.5703125" style="67" customWidth="1"/>
    <col min="4" max="5" width="45.5703125" style="67" customWidth="1"/>
    <col min="6" max="6" width="49.5703125" style="67" customWidth="1"/>
    <col min="7" max="7" width="45.5703125" style="67" customWidth="1"/>
    <col min="8" max="16384" width="8.85546875" style="67"/>
  </cols>
  <sheetData>
    <row r="1" spans="1:7" s="66" customFormat="1" ht="138" customHeight="1" x14ac:dyDescent="0.2">
      <c r="A1" s="65"/>
      <c r="B1" s="65"/>
      <c r="C1" s="65"/>
      <c r="D1" s="65"/>
      <c r="E1" s="65"/>
      <c r="F1" s="65"/>
      <c r="G1" s="65"/>
    </row>
    <row r="2" spans="1:7" ht="47.45" customHeight="1" x14ac:dyDescent="0.6">
      <c r="B2" s="68" t="s">
        <v>31</v>
      </c>
      <c r="C2" s="68"/>
      <c r="D2" s="3"/>
      <c r="E2" s="3"/>
      <c r="F2" s="3"/>
      <c r="G2" s="3"/>
    </row>
    <row r="3" spans="1:7" ht="27" thickBot="1" x14ac:dyDescent="0.45">
      <c r="B3" s="69"/>
      <c r="C3" s="69"/>
      <c r="F3" s="70"/>
    </row>
    <row r="4" spans="1:7" ht="27" customHeight="1" thickBot="1" x14ac:dyDescent="0.45">
      <c r="B4" s="71" t="s">
        <v>55</v>
      </c>
      <c r="C4" s="71"/>
      <c r="D4" s="25">
        <v>0.5</v>
      </c>
    </row>
    <row r="5" spans="1:7" ht="27" customHeight="1" thickBot="1" x14ac:dyDescent="0.45">
      <c r="B5" s="69"/>
      <c r="C5" s="69"/>
      <c r="D5" s="2"/>
    </row>
    <row r="6" spans="1:7" ht="27" thickBot="1" x14ac:dyDescent="0.45">
      <c r="B6" s="71" t="s">
        <v>56</v>
      </c>
      <c r="C6" s="71"/>
      <c r="D6" s="25">
        <v>0.47</v>
      </c>
      <c r="E6" s="72"/>
      <c r="F6" s="73"/>
    </row>
    <row r="7" spans="1:7" ht="27" thickBot="1" x14ac:dyDescent="0.45">
      <c r="B7" s="69"/>
      <c r="C7" s="69"/>
      <c r="D7" s="2"/>
      <c r="E7" s="72"/>
      <c r="F7" s="73"/>
    </row>
    <row r="8" spans="1:7" ht="27" thickBot="1" x14ac:dyDescent="0.45">
      <c r="B8" s="71" t="s">
        <v>57</v>
      </c>
      <c r="C8" s="71"/>
      <c r="D8" s="25">
        <v>0.45</v>
      </c>
      <c r="F8" s="70"/>
    </row>
    <row r="9" spans="1:7" ht="27" customHeight="1" x14ac:dyDescent="0.4">
      <c r="B9" s="69"/>
      <c r="C9" s="69"/>
      <c r="D9" s="1"/>
    </row>
    <row r="10" spans="1:7" ht="27" thickBot="1" x14ac:dyDescent="0.45">
      <c r="B10" s="71" t="s">
        <v>139</v>
      </c>
      <c r="C10" s="71"/>
      <c r="D10" s="1"/>
    </row>
    <row r="11" spans="1:7" ht="54" customHeight="1" thickBot="1" x14ac:dyDescent="0.45">
      <c r="B11" s="71" t="s">
        <v>48</v>
      </c>
      <c r="C11" s="71"/>
      <c r="D11" s="26">
        <v>6</v>
      </c>
    </row>
    <row r="12" spans="1:7" ht="26.25" x14ac:dyDescent="0.4">
      <c r="B12" s="69"/>
      <c r="C12" s="69"/>
      <c r="D12" s="1"/>
    </row>
    <row r="13" spans="1:7" ht="26.25" x14ac:dyDescent="0.4">
      <c r="B13" s="69"/>
      <c r="C13" s="69"/>
      <c r="D13" s="1"/>
    </row>
    <row r="14" spans="1:7" ht="27" thickBot="1" x14ac:dyDescent="0.45">
      <c r="B14" s="71" t="s">
        <v>140</v>
      </c>
      <c r="C14" s="71"/>
      <c r="D14" s="1"/>
    </row>
    <row r="15" spans="1:7" ht="54" customHeight="1" thickBot="1" x14ac:dyDescent="0.45">
      <c r="B15" s="71" t="s">
        <v>49</v>
      </c>
      <c r="C15" s="71"/>
      <c r="D15" s="26">
        <v>14</v>
      </c>
    </row>
    <row r="16" spans="1:7" ht="26.25" x14ac:dyDescent="0.4">
      <c r="B16" s="69"/>
      <c r="C16" s="69"/>
      <c r="D16" s="1"/>
    </row>
    <row r="17" spans="2:4" ht="26.25" x14ac:dyDescent="0.4">
      <c r="B17" s="69"/>
      <c r="C17" s="69"/>
      <c r="D17" s="1"/>
    </row>
    <row r="18" spans="2:4" ht="27" thickBot="1" x14ac:dyDescent="0.45">
      <c r="B18" s="71" t="s">
        <v>134</v>
      </c>
      <c r="C18" s="71"/>
      <c r="D18" s="1"/>
    </row>
    <row r="19" spans="2:4" ht="54.95" customHeight="1" thickBot="1" x14ac:dyDescent="0.45">
      <c r="B19" s="71" t="s">
        <v>135</v>
      </c>
      <c r="C19" s="71"/>
      <c r="D19" s="26">
        <v>24</v>
      </c>
    </row>
    <row r="20" spans="2:4" ht="26.25" x14ac:dyDescent="0.4">
      <c r="B20" s="69"/>
      <c r="C20" s="69"/>
      <c r="D20" s="1"/>
    </row>
    <row r="21" spans="2:4" ht="26.25" x14ac:dyDescent="0.4">
      <c r="B21" s="69"/>
      <c r="C21" s="69"/>
      <c r="D21" s="1"/>
    </row>
    <row r="22" spans="2:4" ht="24" customHeight="1" x14ac:dyDescent="0.4">
      <c r="B22" s="74" t="s">
        <v>132</v>
      </c>
      <c r="C22" s="75">
        <f>'Budget '!C6</f>
        <v>6</v>
      </c>
      <c r="D22" s="76" t="s">
        <v>133</v>
      </c>
    </row>
    <row r="23" spans="2:4" ht="24" customHeight="1" thickBot="1" x14ac:dyDescent="0.45">
      <c r="B23" s="77" t="s">
        <v>129</v>
      </c>
      <c r="C23" s="78">
        <f>D11</f>
        <v>6</v>
      </c>
      <c r="D23" s="79" t="s">
        <v>131</v>
      </c>
    </row>
    <row r="24" spans="2:4" ht="24" customHeight="1" thickBot="1" x14ac:dyDescent="0.45">
      <c r="B24" s="80"/>
      <c r="C24" s="78"/>
      <c r="D24" s="26">
        <f>2.63*C22</f>
        <v>15.78</v>
      </c>
    </row>
    <row r="25" spans="2:4" ht="24" customHeight="1" x14ac:dyDescent="0.4">
      <c r="B25" s="69"/>
      <c r="C25" s="81"/>
      <c r="D25" s="1"/>
    </row>
    <row r="26" spans="2:4" ht="24" customHeight="1" x14ac:dyDescent="0.4">
      <c r="B26" s="74" t="s">
        <v>136</v>
      </c>
      <c r="C26" s="75">
        <f>'Budget '!D14+(0.5*'Budget '!F6)</f>
        <v>6</v>
      </c>
      <c r="D26" s="76" t="s">
        <v>133</v>
      </c>
    </row>
    <row r="27" spans="2:4" ht="24" customHeight="1" thickBot="1" x14ac:dyDescent="0.45">
      <c r="B27" s="77" t="s">
        <v>142</v>
      </c>
      <c r="C27" s="78">
        <f>D15</f>
        <v>14</v>
      </c>
      <c r="D27" s="79" t="s">
        <v>131</v>
      </c>
    </row>
    <row r="28" spans="2:4" ht="24" customHeight="1" thickBot="1" x14ac:dyDescent="0.45">
      <c r="B28" s="80"/>
      <c r="C28" s="78"/>
      <c r="D28" s="26">
        <f>8*C26</f>
        <v>48</v>
      </c>
    </row>
    <row r="29" spans="2:4" ht="24" customHeight="1" x14ac:dyDescent="0.4">
      <c r="B29" s="69"/>
      <c r="C29" s="81"/>
      <c r="D29" s="1"/>
    </row>
    <row r="30" spans="2:4" ht="24" customHeight="1" x14ac:dyDescent="0.4">
      <c r="B30" s="77" t="s">
        <v>132</v>
      </c>
      <c r="C30" s="82">
        <f>'Budget '!C6-'Budget '!F6</f>
        <v>6</v>
      </c>
      <c r="D30" s="76" t="s">
        <v>133</v>
      </c>
    </row>
    <row r="31" spans="2:4" ht="24" customHeight="1" thickBot="1" x14ac:dyDescent="0.45">
      <c r="B31" s="77" t="s">
        <v>130</v>
      </c>
      <c r="C31" s="78">
        <v>1</v>
      </c>
      <c r="D31" s="79" t="s">
        <v>137</v>
      </c>
    </row>
    <row r="32" spans="2:4" ht="24" customHeight="1" thickBot="1" x14ac:dyDescent="0.45">
      <c r="B32" s="80"/>
      <c r="C32" s="78"/>
      <c r="D32" s="26">
        <f>7.5*C30</f>
        <v>45</v>
      </c>
    </row>
    <row r="34" spans="2:7" ht="26.25" x14ac:dyDescent="0.4">
      <c r="B34" s="71" t="s">
        <v>54</v>
      </c>
      <c r="C34" s="71"/>
      <c r="D34" s="75" t="s">
        <v>41</v>
      </c>
      <c r="E34" s="75" t="s">
        <v>53</v>
      </c>
      <c r="F34" s="81"/>
    </row>
    <row r="35" spans="2:7" ht="26.25" x14ac:dyDescent="0.4">
      <c r="B35" s="71" t="s">
        <v>81</v>
      </c>
      <c r="C35" s="71"/>
      <c r="D35" s="83" t="s">
        <v>42</v>
      </c>
      <c r="E35" s="83" t="s">
        <v>42</v>
      </c>
      <c r="F35" s="1"/>
    </row>
    <row r="36" spans="2:7" ht="26.25" x14ac:dyDescent="0.4">
      <c r="B36" s="71"/>
      <c r="C36" s="71"/>
      <c r="D36" s="84">
        <f>D19+((D11+D15)/4.3)</f>
        <v>28.651162790697676</v>
      </c>
      <c r="E36" s="85">
        <f>D36*4.3</f>
        <v>123.2</v>
      </c>
      <c r="F36" s="86"/>
    </row>
    <row r="37" spans="2:7" ht="26.25" x14ac:dyDescent="0.4">
      <c r="B37" s="69"/>
      <c r="C37" s="69"/>
      <c r="D37" s="86"/>
      <c r="E37" s="1"/>
      <c r="F37" s="1"/>
    </row>
    <row r="38" spans="2:7" ht="26.25" x14ac:dyDescent="0.4">
      <c r="B38" s="71" t="s">
        <v>46</v>
      </c>
      <c r="C38" s="71"/>
      <c r="D38" s="87" t="s">
        <v>40</v>
      </c>
      <c r="E38" s="75" t="s">
        <v>43</v>
      </c>
      <c r="F38" s="75" t="s">
        <v>66</v>
      </c>
    </row>
    <row r="39" spans="2:7" ht="26.25" x14ac:dyDescent="0.4">
      <c r="B39" s="71"/>
      <c r="C39" s="71"/>
      <c r="D39" s="88" t="s">
        <v>126</v>
      </c>
      <c r="E39" s="83" t="s">
        <v>52</v>
      </c>
      <c r="F39" s="83" t="s">
        <v>45</v>
      </c>
    </row>
    <row r="40" spans="2:7" ht="26.25" x14ac:dyDescent="0.4">
      <c r="B40" s="71"/>
      <c r="C40" s="71"/>
      <c r="D40" s="89">
        <f>((52-'Budget '!F7)*'Budget '!F5)/52</f>
        <v>4.615384615384615</v>
      </c>
      <c r="E40" s="89">
        <f>D40*(D36/4.3)</f>
        <v>30.752589757457255</v>
      </c>
      <c r="F40" s="90">
        <f>G44/E40</f>
        <v>0.3757407129329004</v>
      </c>
    </row>
    <row r="41" spans="2:7" ht="26.25" x14ac:dyDescent="0.4">
      <c r="B41" s="69"/>
      <c r="C41" s="69"/>
      <c r="D41" s="86"/>
      <c r="E41" s="1"/>
      <c r="F41" s="1"/>
    </row>
    <row r="42" spans="2:7" ht="26.25" x14ac:dyDescent="0.4">
      <c r="B42" s="71" t="s">
        <v>124</v>
      </c>
      <c r="C42" s="71"/>
      <c r="D42" s="75" t="s">
        <v>47</v>
      </c>
      <c r="E42" s="75" t="s">
        <v>50</v>
      </c>
      <c r="F42" s="75" t="s">
        <v>51</v>
      </c>
      <c r="G42" s="75" t="s">
        <v>71</v>
      </c>
    </row>
    <row r="43" spans="2:7" ht="26.25" x14ac:dyDescent="0.4">
      <c r="B43" s="71" t="s">
        <v>81</v>
      </c>
      <c r="C43" s="71"/>
      <c r="D43" s="83" t="s">
        <v>44</v>
      </c>
      <c r="E43" s="83" t="s">
        <v>44</v>
      </c>
      <c r="F43" s="83" t="s">
        <v>44</v>
      </c>
      <c r="G43" s="83" t="s">
        <v>52</v>
      </c>
    </row>
    <row r="44" spans="2:7" ht="26.25" x14ac:dyDescent="0.4">
      <c r="B44" s="71"/>
      <c r="C44" s="71"/>
      <c r="D44" s="90">
        <f>(D24*D4)/C30</f>
        <v>1.3149999999999999</v>
      </c>
      <c r="E44" s="90">
        <f>(D28/C26)*D6</f>
        <v>3.76</v>
      </c>
      <c r="F44" s="91">
        <f>((D32*D19)*D8)/75</f>
        <v>6.48</v>
      </c>
      <c r="G44" s="91">
        <f>((F44+E44+D44))</f>
        <v>11.555</v>
      </c>
    </row>
    <row r="45" spans="2:7" ht="26.25" x14ac:dyDescent="0.4">
      <c r="B45" s="69"/>
      <c r="C45" s="69"/>
      <c r="D45" s="1"/>
      <c r="E45" s="1"/>
      <c r="F45" s="1"/>
    </row>
    <row r="46" spans="2:7" ht="26.25" x14ac:dyDescent="0.4">
      <c r="B46" s="71" t="s">
        <v>123</v>
      </c>
      <c r="C46" s="71"/>
      <c r="D46" s="75" t="s">
        <v>138</v>
      </c>
      <c r="E46" s="92" t="s">
        <v>101</v>
      </c>
      <c r="F46" s="75" t="s">
        <v>141</v>
      </c>
      <c r="G46" s="75" t="s">
        <v>141</v>
      </c>
    </row>
    <row r="47" spans="2:7" ht="84.6" customHeight="1" x14ac:dyDescent="0.4">
      <c r="B47" s="71"/>
      <c r="C47" s="71"/>
      <c r="D47" s="93" t="s">
        <v>146</v>
      </c>
      <c r="E47" s="94" t="s">
        <v>100</v>
      </c>
      <c r="F47" s="93" t="s">
        <v>70</v>
      </c>
      <c r="G47" s="93" t="s">
        <v>69</v>
      </c>
    </row>
    <row r="48" spans="2:7" ht="26.25" x14ac:dyDescent="0.4">
      <c r="B48" s="71"/>
      <c r="C48" s="71"/>
      <c r="D48" s="95">
        <f>D32/4.3</f>
        <v>10.465116279069768</v>
      </c>
      <c r="E48" s="96">
        <f>D32*D8</f>
        <v>20.25</v>
      </c>
      <c r="F48" s="97">
        <f>D32*12</f>
        <v>540</v>
      </c>
      <c r="G48" s="98">
        <f>F48*D8</f>
        <v>243</v>
      </c>
    </row>
    <row r="49" spans="4:5" ht="33.6" customHeight="1" x14ac:dyDescent="0.35">
      <c r="D49" s="1"/>
      <c r="E49" s="1"/>
    </row>
    <row r="50" spans="4:5" x14ac:dyDescent="0.35">
      <c r="D50" s="1"/>
    </row>
  </sheetData>
  <dataValidations count="1">
    <dataValidation type="whole" operator="greaterThanOrEqual" allowBlank="1" showInputMessage="1" showErrorMessage="1" sqref="D28 D24 D32 D11:D12 D15:D16 D19:D20" xr:uid="{00000000-0002-0000-0100-000000000000}">
      <formula1>0</formula1>
    </dataValidation>
  </dataValidations>
  <pageMargins left="0.7" right="0.7" top="0.75" bottom="0.75" header="0.3" footer="0.3"/>
  <pageSetup scale="3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opLeftCell="A19" zoomScale="70" zoomScaleNormal="70" workbookViewId="0">
      <selection activeCell="B20" sqref="B20"/>
    </sheetView>
  </sheetViews>
  <sheetFormatPr defaultColWidth="8.85546875" defaultRowHeight="25.5" x14ac:dyDescent="0.35"/>
  <cols>
    <col min="1" max="1" width="5.140625" style="101" customWidth="1"/>
    <col min="2" max="2" width="74.28515625" style="101" customWidth="1"/>
    <col min="3" max="3" width="13.140625" style="101" customWidth="1"/>
    <col min="4" max="4" width="41" style="101" customWidth="1"/>
    <col min="5" max="5" width="24" style="101" customWidth="1"/>
    <col min="6" max="6" width="9.42578125" style="101" bestFit="1" customWidth="1"/>
    <col min="7" max="16384" width="8.85546875" style="101"/>
  </cols>
  <sheetData>
    <row r="1" spans="1:6" s="100" customFormat="1" ht="138" customHeight="1" x14ac:dyDescent="0.25">
      <c r="A1" s="99"/>
      <c r="B1" s="99"/>
      <c r="C1" s="99"/>
      <c r="D1" s="99"/>
      <c r="E1" s="99"/>
      <c r="F1" s="99"/>
    </row>
    <row r="2" spans="1:6" ht="32.25" customHeight="1" thickBot="1" x14ac:dyDescent="0.55000000000000004">
      <c r="B2" s="102" t="s">
        <v>78</v>
      </c>
      <c r="C2" s="103"/>
      <c r="D2" s="103"/>
      <c r="E2" s="103"/>
    </row>
    <row r="3" spans="1:6" ht="32.25" customHeight="1" thickBot="1" x14ac:dyDescent="0.4">
      <c r="E3" s="103"/>
    </row>
    <row r="4" spans="1:6" ht="24" customHeight="1" thickBot="1" x14ac:dyDescent="0.4">
      <c r="B4" s="104" t="s">
        <v>19</v>
      </c>
      <c r="E4" s="27">
        <v>3</v>
      </c>
    </row>
    <row r="5" spans="1:6" ht="24" customHeight="1" thickBot="1" x14ac:dyDescent="0.4">
      <c r="B5" s="104" t="s">
        <v>79</v>
      </c>
      <c r="E5" s="28">
        <v>16</v>
      </c>
    </row>
    <row r="6" spans="1:6" ht="24" customHeight="1" x14ac:dyDescent="0.35">
      <c r="B6" s="104" t="s">
        <v>32</v>
      </c>
      <c r="E6" s="105">
        <f>'Budget '!C6</f>
        <v>6</v>
      </c>
    </row>
    <row r="7" spans="1:6" ht="24" customHeight="1" x14ac:dyDescent="0.35">
      <c r="B7" s="104" t="s">
        <v>102</v>
      </c>
      <c r="E7" s="106">
        <f>'Budget '!C6-'Budget '!F6</f>
        <v>6</v>
      </c>
    </row>
    <row r="8" spans="1:6" ht="26.25" customHeight="1" x14ac:dyDescent="0.35">
      <c r="E8" s="107"/>
    </row>
    <row r="9" spans="1:6" ht="35.25" x14ac:dyDescent="0.5">
      <c r="B9" s="108" t="s">
        <v>22</v>
      </c>
      <c r="C9" s="109"/>
      <c r="D9" s="109"/>
    </row>
    <row r="10" spans="1:6" x14ac:dyDescent="0.35">
      <c r="B10" s="110" t="s">
        <v>24</v>
      </c>
      <c r="C10" s="110"/>
      <c r="D10" s="110"/>
      <c r="E10" s="111">
        <f>E4*E6</f>
        <v>18</v>
      </c>
    </row>
    <row r="11" spans="1:6" x14ac:dyDescent="0.35">
      <c r="B11" s="112" t="s">
        <v>143</v>
      </c>
      <c r="C11" s="113">
        <f>'Feed Cost'!C23+'Feed Cost'!C27</f>
        <v>20</v>
      </c>
      <c r="D11" s="110" t="s">
        <v>144</v>
      </c>
      <c r="E11" s="114">
        <f>('Feed Cost'!D44+'Feed Cost'!E44)*E6</f>
        <v>30.449999999999996</v>
      </c>
    </row>
    <row r="12" spans="1:6" ht="26.25" thickBot="1" x14ac:dyDescent="0.4">
      <c r="B12" s="115" t="s">
        <v>59</v>
      </c>
      <c r="C12" s="116">
        <f>'Budget '!C7</f>
        <v>0</v>
      </c>
      <c r="D12" s="117"/>
      <c r="E12" s="118">
        <f>((E6)*C12)*E4</f>
        <v>0</v>
      </c>
    </row>
    <row r="13" spans="1:6" ht="26.25" thickTop="1" x14ac:dyDescent="0.35">
      <c r="B13" s="110" t="s">
        <v>147</v>
      </c>
      <c r="C13" s="110"/>
      <c r="D13" s="110"/>
      <c r="E13" s="119">
        <f>SUM(E10:E12)</f>
        <v>48.449999999999996</v>
      </c>
    </row>
    <row r="14" spans="1:6" x14ac:dyDescent="0.35">
      <c r="B14" s="110" t="s">
        <v>60</v>
      </c>
      <c r="C14" s="110"/>
      <c r="D14" s="110"/>
      <c r="E14" s="119">
        <f>E13/$E$6</f>
        <v>8.0749999999999993</v>
      </c>
    </row>
    <row r="15" spans="1:6" x14ac:dyDescent="0.35">
      <c r="E15" s="120"/>
    </row>
    <row r="16" spans="1:6" ht="35.25" x14ac:dyDescent="0.5">
      <c r="B16" s="121" t="s">
        <v>80</v>
      </c>
      <c r="C16" s="122" t="s">
        <v>25</v>
      </c>
      <c r="D16" s="122" t="s">
        <v>26</v>
      </c>
      <c r="E16" s="123" t="s">
        <v>64</v>
      </c>
    </row>
    <row r="17" spans="2:5" x14ac:dyDescent="0.35">
      <c r="B17" s="124" t="s">
        <v>76</v>
      </c>
      <c r="C17" s="110">
        <f>C33*C11</f>
        <v>0</v>
      </c>
      <c r="D17" s="114">
        <v>10</v>
      </c>
      <c r="E17" s="125">
        <f>C17*D17</f>
        <v>0</v>
      </c>
    </row>
    <row r="18" spans="2:5" ht="26.25" thickBot="1" x14ac:dyDescent="0.4">
      <c r="B18" s="126" t="s">
        <v>23</v>
      </c>
      <c r="C18" s="117"/>
      <c r="D18" s="117"/>
      <c r="E18" s="127">
        <f>((5/12)*'Budget '!D11)*20</f>
        <v>50</v>
      </c>
    </row>
    <row r="19" spans="2:5" ht="26.25" thickTop="1" x14ac:dyDescent="0.35">
      <c r="B19" s="124" t="s">
        <v>74</v>
      </c>
      <c r="C19" s="110"/>
      <c r="D19" s="110"/>
      <c r="E19" s="125">
        <f>SUM(E17:E18)+E14</f>
        <v>58.075000000000003</v>
      </c>
    </row>
    <row r="20" spans="2:5" x14ac:dyDescent="0.35">
      <c r="B20" s="128" t="s">
        <v>62</v>
      </c>
      <c r="C20" s="129"/>
      <c r="D20" s="129"/>
      <c r="E20" s="130">
        <f>(E19/$E$6)+E14</f>
        <v>17.754166666666666</v>
      </c>
    </row>
    <row r="21" spans="2:5" ht="19.5" customHeight="1" x14ac:dyDescent="0.35">
      <c r="E21" s="120"/>
    </row>
    <row r="25" spans="2:5" ht="35.25" x14ac:dyDescent="0.5">
      <c r="B25" s="108" t="s">
        <v>67</v>
      </c>
      <c r="C25" s="109"/>
      <c r="D25" s="109"/>
      <c r="E25" s="120"/>
    </row>
    <row r="26" spans="2:5" x14ac:dyDescent="0.35">
      <c r="B26" s="110" t="s">
        <v>67</v>
      </c>
      <c r="C26" s="110"/>
      <c r="D26" s="110"/>
      <c r="E26" s="131">
        <f>E5*E7</f>
        <v>96</v>
      </c>
    </row>
    <row r="27" spans="2:5" x14ac:dyDescent="0.35">
      <c r="B27" s="112" t="s">
        <v>68</v>
      </c>
      <c r="C27" s="110"/>
      <c r="D27" s="110"/>
      <c r="E27" s="114">
        <f>('Feed Cost'!F44/104)*'Chicks VS Pullets'!E7</f>
        <v>0.37384615384615388</v>
      </c>
    </row>
    <row r="28" spans="2:5" ht="26.25" thickBot="1" x14ac:dyDescent="0.4">
      <c r="B28" s="115" t="s">
        <v>72</v>
      </c>
      <c r="C28" s="117"/>
      <c r="D28" s="117"/>
      <c r="E28" s="118">
        <f>(E7*0.01)*E5</f>
        <v>0.96</v>
      </c>
    </row>
    <row r="29" spans="2:5" ht="27" customHeight="1" thickTop="1" x14ac:dyDescent="0.35">
      <c r="B29" s="110" t="s">
        <v>73</v>
      </c>
      <c r="C29" s="110"/>
      <c r="D29" s="110"/>
      <c r="E29" s="119">
        <f>SUM(E26:E28)</f>
        <v>97.333846153846153</v>
      </c>
    </row>
    <row r="30" spans="2:5" ht="24.6" customHeight="1" x14ac:dyDescent="0.35">
      <c r="B30" s="110" t="s">
        <v>61</v>
      </c>
      <c r="C30" s="110"/>
      <c r="D30" s="110"/>
      <c r="E30" s="119">
        <f>E29/$E$7</f>
        <v>16.222307692307691</v>
      </c>
    </row>
    <row r="31" spans="2:5" ht="30.6" customHeight="1" x14ac:dyDescent="0.35">
      <c r="E31" s="132"/>
    </row>
    <row r="32" spans="2:5" ht="31.15" customHeight="1" x14ac:dyDescent="0.5">
      <c r="B32" s="121" t="s">
        <v>80</v>
      </c>
      <c r="C32" s="122" t="s">
        <v>25</v>
      </c>
      <c r="D32" s="122" t="s">
        <v>26</v>
      </c>
      <c r="E32" s="123" t="s">
        <v>64</v>
      </c>
    </row>
    <row r="33" spans="2:5" ht="27.6" customHeight="1" x14ac:dyDescent="0.35">
      <c r="B33" s="124" t="s">
        <v>75</v>
      </c>
      <c r="C33" s="113">
        <f>'Budget '!F4</f>
        <v>0</v>
      </c>
      <c r="D33" s="114">
        <v>10</v>
      </c>
      <c r="E33" s="133">
        <f>C33*D33</f>
        <v>0</v>
      </c>
    </row>
    <row r="34" spans="2:5" ht="21" customHeight="1" thickBot="1" x14ac:dyDescent="0.4">
      <c r="B34" s="126" t="s">
        <v>77</v>
      </c>
      <c r="C34" s="117"/>
      <c r="D34" s="117"/>
      <c r="E34" s="127">
        <f>0.4*'Budget '!E10</f>
        <v>1.82</v>
      </c>
    </row>
    <row r="35" spans="2:5" ht="26.25" thickTop="1" x14ac:dyDescent="0.35">
      <c r="B35" s="124" t="s">
        <v>74</v>
      </c>
      <c r="C35" s="110"/>
      <c r="D35" s="110"/>
      <c r="E35" s="125">
        <f>SUM(E33:E34)</f>
        <v>1.82</v>
      </c>
    </row>
    <row r="36" spans="2:5" x14ac:dyDescent="0.35">
      <c r="B36" s="128" t="s">
        <v>63</v>
      </c>
      <c r="C36" s="129"/>
      <c r="D36" s="129"/>
      <c r="E36" s="130">
        <f>(E35/$E$7)+E30</f>
        <v>16.525641025641026</v>
      </c>
    </row>
  </sheetData>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
  <sheetViews>
    <sheetView zoomScaleNormal="100" workbookViewId="0">
      <selection activeCell="D37" sqref="D37"/>
    </sheetView>
  </sheetViews>
  <sheetFormatPr defaultColWidth="8.85546875" defaultRowHeight="12.75" x14ac:dyDescent="0.2"/>
  <cols>
    <col min="1" max="1" width="3.28515625" style="66" customWidth="1"/>
    <col min="2" max="2" width="21.42578125" style="66" customWidth="1"/>
    <col min="3" max="7" width="12.7109375" style="66" customWidth="1"/>
    <col min="8" max="10" width="13" style="66" customWidth="1"/>
    <col min="11" max="16384" width="8.85546875" style="66"/>
  </cols>
  <sheetData>
    <row r="2" spans="2:10" ht="40.9" customHeight="1" thickBot="1" x14ac:dyDescent="0.35">
      <c r="B2" s="134" t="s">
        <v>96</v>
      </c>
      <c r="C2" s="134"/>
      <c r="D2" s="135"/>
      <c r="E2" s="135"/>
      <c r="F2" s="135"/>
      <c r="G2" s="135"/>
      <c r="H2" s="135"/>
      <c r="I2" s="135"/>
      <c r="J2" s="135"/>
    </row>
    <row r="3" spans="2:10" ht="16.149999999999999" customHeight="1" x14ac:dyDescent="0.3">
      <c r="B3" s="136"/>
      <c r="C3" s="136"/>
      <c r="D3" s="137"/>
      <c r="E3" s="137"/>
      <c r="F3" s="137"/>
      <c r="G3" s="137"/>
      <c r="H3" s="137"/>
      <c r="I3" s="137"/>
      <c r="J3" s="137"/>
    </row>
    <row r="4" spans="2:10" ht="15.75" x14ac:dyDescent="0.25">
      <c r="B4" s="138"/>
      <c r="C4" s="139" t="s">
        <v>85</v>
      </c>
      <c r="D4" s="139" t="s">
        <v>86</v>
      </c>
      <c r="E4" s="139" t="s">
        <v>87</v>
      </c>
      <c r="F4" s="139" t="s">
        <v>88</v>
      </c>
      <c r="G4" s="139" t="s">
        <v>89</v>
      </c>
      <c r="H4" s="139" t="s">
        <v>90</v>
      </c>
      <c r="I4" s="139" t="s">
        <v>94</v>
      </c>
      <c r="J4" s="139" t="s">
        <v>95</v>
      </c>
    </row>
    <row r="5" spans="2:10" ht="15" x14ac:dyDescent="0.25">
      <c r="B5" s="139" t="s">
        <v>91</v>
      </c>
      <c r="C5" s="140">
        <f t="shared" ref="C5:E6" si="0">D5-0.3</f>
        <v>3.6500000000000004</v>
      </c>
      <c r="D5" s="140">
        <f t="shared" si="0"/>
        <v>3.95</v>
      </c>
      <c r="E5" s="140">
        <f t="shared" si="0"/>
        <v>4.25</v>
      </c>
      <c r="F5" s="140">
        <f>'Budget '!E10</f>
        <v>4.55</v>
      </c>
      <c r="G5" s="140">
        <f>F5+0.3</f>
        <v>4.8499999999999996</v>
      </c>
      <c r="H5" s="140">
        <f>G5+0.3</f>
        <v>5.1499999999999995</v>
      </c>
      <c r="I5" s="140">
        <f t="shared" ref="I5:J5" si="1">H5+0.3</f>
        <v>5.4499999999999993</v>
      </c>
      <c r="J5" s="140">
        <f t="shared" si="1"/>
        <v>5.7499999999999991</v>
      </c>
    </row>
    <row r="6" spans="2:10" ht="15" x14ac:dyDescent="0.25">
      <c r="B6" s="139" t="s">
        <v>99</v>
      </c>
      <c r="C6" s="140">
        <f t="shared" si="0"/>
        <v>-0.89999999999999991</v>
      </c>
      <c r="D6" s="140">
        <f t="shared" si="0"/>
        <v>-0.6</v>
      </c>
      <c r="E6" s="140">
        <f t="shared" si="0"/>
        <v>-0.3</v>
      </c>
      <c r="F6" s="140">
        <f>'Budget '!E11</f>
        <v>0</v>
      </c>
      <c r="G6" s="140">
        <f>F6+0.3</f>
        <v>0.3</v>
      </c>
      <c r="H6" s="140">
        <f>G6+0.3</f>
        <v>0.6</v>
      </c>
      <c r="I6" s="140">
        <f>H6+0.3</f>
        <v>0.89999999999999991</v>
      </c>
      <c r="J6" s="140">
        <f>I6+0.3</f>
        <v>1.2</v>
      </c>
    </row>
    <row r="7" spans="2:10" ht="15" x14ac:dyDescent="0.25">
      <c r="B7" s="141"/>
      <c r="C7" s="142"/>
      <c r="D7" s="142"/>
      <c r="E7" s="142"/>
      <c r="F7" s="142"/>
      <c r="G7" s="142"/>
      <c r="H7" s="142"/>
      <c r="I7" s="142"/>
      <c r="J7" s="142"/>
    </row>
    <row r="8" spans="2:10" ht="15" x14ac:dyDescent="0.25">
      <c r="B8" s="139" t="s">
        <v>92</v>
      </c>
      <c r="C8" s="143">
        <f>((('Budget '!$E$10-0.9)*'Budget '!$D$10))+(('Budget '!$D$11*('Budget '!$E$11-0.9)))</f>
        <v>432.6</v>
      </c>
      <c r="D8" s="143">
        <f>((('Budget '!$E$10-0.6)*'Budget '!$D$10))+(('Budget '!$D$11*('Budget '!$E$11-0.6)))</f>
        <v>470.39999999999992</v>
      </c>
      <c r="E8" s="143">
        <f>((('Budget '!$E$10-0.3)*'Budget '!$D$10))+(('Budget '!$D$11*('Budget '!$E$11-0.3)))</f>
        <v>508.2</v>
      </c>
      <c r="F8" s="143">
        <f>((('Budget '!$E$10)*'Budget '!$D$10))+(('Budget '!$D$11*('Budget '!$E$11)))</f>
        <v>546</v>
      </c>
      <c r="G8" s="143">
        <f>((('Budget '!$E$10+0.3)*'Budget '!$D$10))+(('Budget '!$D$11*('Budget '!$E$11+0.3)))</f>
        <v>583.79999999999995</v>
      </c>
      <c r="H8" s="143">
        <f>((('Budget '!$E$10+0.6)*'Budget '!$D$10))+(('Budget '!$D$11*('Budget '!$E$11+0.6)))</f>
        <v>621.59999999999991</v>
      </c>
      <c r="I8" s="143">
        <f>((('Budget '!$E$10+0.9)*'Budget '!$D$10))+(('Budget '!$D$11*('Budget '!$E$11+0.9)))</f>
        <v>659.4</v>
      </c>
      <c r="J8" s="143">
        <f>((('Budget '!$E$10+1.2)*'Budget '!$D$10))+(('Budget '!$D$11*('Budget '!$E$11+1.2)))</f>
        <v>697.2</v>
      </c>
    </row>
    <row r="9" spans="2:10" ht="15.75" thickBot="1" x14ac:dyDescent="0.3">
      <c r="B9" s="144"/>
      <c r="C9" s="145"/>
      <c r="D9" s="145"/>
      <c r="E9" s="145"/>
      <c r="F9" s="145"/>
      <c r="G9" s="145"/>
      <c r="H9" s="145"/>
      <c r="I9" s="145"/>
      <c r="J9" s="145"/>
    </row>
    <row r="10" spans="2:10" ht="15" x14ac:dyDescent="0.25">
      <c r="B10" s="146" t="s">
        <v>93</v>
      </c>
      <c r="C10" s="147">
        <f>C8-'Budget '!$F$42</f>
        <v>-418.85</v>
      </c>
      <c r="D10" s="147">
        <f>D8-'Budget '!$F$42</f>
        <v>-381.05000000000013</v>
      </c>
      <c r="E10" s="147">
        <f>E8-'Budget '!$F$42</f>
        <v>-343.25000000000006</v>
      </c>
      <c r="F10" s="147">
        <f>F8-'Budget '!$F$42</f>
        <v>-305.45000000000005</v>
      </c>
      <c r="G10" s="147">
        <f>G8-'Budget '!$F$42</f>
        <v>-267.65000000000009</v>
      </c>
      <c r="H10" s="147">
        <f>H8-'Budget '!$F$42</f>
        <v>-229.85000000000014</v>
      </c>
      <c r="I10" s="147">
        <f>I8-'Budget '!$F$42</f>
        <v>-192.05000000000007</v>
      </c>
      <c r="J10" s="147">
        <f>J8-'Budget '!$F$42</f>
        <v>-154.25</v>
      </c>
    </row>
  </sheetData>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Budget </vt:lpstr>
      <vt:lpstr>Feed Cost</vt:lpstr>
      <vt:lpstr>Chicks VS Pullets</vt:lpstr>
      <vt:lpstr>Break Even Table</vt:lpstr>
      <vt:lpstr>'Break Even Table'!Print_Area</vt:lpstr>
      <vt:lpstr>'Budget '!Print_Area</vt:lpstr>
      <vt:lpstr>'Feed Cost'!Print_Area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sgbullen</dc:creator>
  <cp:lastModifiedBy>Derek Alan Washburn</cp:lastModifiedBy>
  <cp:lastPrinted>2016-11-11T14:15:26Z</cp:lastPrinted>
  <dcterms:created xsi:type="dcterms:W3CDTF">2014-05-01T19:06:52Z</dcterms:created>
  <dcterms:modified xsi:type="dcterms:W3CDTF">2023-01-10T15:24:34Z</dcterms:modified>
</cp:coreProperties>
</file>