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40" windowWidth="24880" windowHeight="14820" tabRatio="599" activeTab="0"/>
  </bookViews>
  <sheets>
    <sheet name="Cover" sheetId="1" r:id="rId1"/>
    <sheet name="Assumptions" sheetId="2" r:id="rId2"/>
    <sheet name="Budget" sheetId="3" r:id="rId3"/>
    <sheet name="BudgetSummary" sheetId="4" r:id="rId4"/>
    <sheet name="Returns" sheetId="5" r:id="rId5"/>
    <sheet name="Machinery" sheetId="6" r:id="rId6"/>
    <sheet name="ProductionSequence" sheetId="7" r:id="rId7"/>
  </sheets>
  <definedNames>
    <definedName name="_xlnm.Print_Area" localSheetId="1">'Assumptions'!$A$1:$I$52</definedName>
    <definedName name="_xlnm.Print_Area" localSheetId="5">'Machinery'!$A$1:$U$28</definedName>
    <definedName name="_xlnm.Print_Area" localSheetId="6">'ProductionSequence'!$A$1:$P$78</definedName>
    <definedName name="_xlnm.Print_Area" localSheetId="4">'Returns'!$B$1:$J$13</definedName>
  </definedNames>
  <calcPr fullCalcOnLoad="1"/>
</workbook>
</file>

<file path=xl/sharedStrings.xml><?xml version="1.0" encoding="utf-8"?>
<sst xmlns="http://schemas.openxmlformats.org/spreadsheetml/2006/main" count="997" uniqueCount="369">
  <si>
    <t>November</t>
  </si>
  <si>
    <t>December</t>
  </si>
  <si>
    <t xml:space="preserve"> </t>
  </si>
  <si>
    <t>Month</t>
  </si>
  <si>
    <t>Materials used</t>
  </si>
  <si>
    <t>Labor used</t>
  </si>
  <si>
    <t>Summary</t>
  </si>
  <si>
    <t>Cumulative</t>
  </si>
  <si>
    <t>hrs</t>
  </si>
  <si>
    <t>cost/hr</t>
  </si>
  <si>
    <t>eqcost</t>
  </si>
  <si>
    <t>price</t>
  </si>
  <si>
    <t xml:space="preserve">unit </t>
  </si>
  <si>
    <t>matcost</t>
  </si>
  <si>
    <t>cost</t>
  </si>
  <si>
    <t>costs</t>
  </si>
  <si>
    <t>October</t>
  </si>
  <si>
    <t>May</t>
  </si>
  <si>
    <t>Taxes</t>
  </si>
  <si>
    <t>Real Estate Taxes</t>
  </si>
  <si>
    <t>Net Land Rent</t>
  </si>
  <si>
    <t>Annual</t>
  </si>
  <si>
    <t>Overhead</t>
  </si>
  <si>
    <t>Annual Administrative Costs + Taxes</t>
  </si>
  <si>
    <t>Total Annual Administrative Costs + Taxes</t>
  </si>
  <si>
    <t>April</t>
  </si>
  <si>
    <t>lbs</t>
  </si>
  <si>
    <t>February</t>
  </si>
  <si>
    <t>January</t>
  </si>
  <si>
    <t>March</t>
  </si>
  <si>
    <t>June</t>
  </si>
  <si>
    <t>Total June</t>
  </si>
  <si>
    <t>July</t>
  </si>
  <si>
    <t>August</t>
  </si>
  <si>
    <t>September</t>
  </si>
  <si>
    <t>oz</t>
  </si>
  <si>
    <t>Equipment</t>
  </si>
  <si>
    <t>Materials</t>
  </si>
  <si>
    <t>Labor</t>
  </si>
  <si>
    <t>Total</t>
  </si>
  <si>
    <t>Material</t>
  </si>
  <si>
    <t>2400' roll</t>
  </si>
  <si>
    <t>6000ft</t>
  </si>
  <si>
    <t>Machinery Description</t>
  </si>
  <si>
    <t>Purchase Price</t>
  </si>
  <si>
    <t>Salvage Value</t>
  </si>
  <si>
    <t>Years of Life</t>
  </si>
  <si>
    <t>Depreciation</t>
  </si>
  <si>
    <t>Insurance</t>
  </si>
  <si>
    <t>Interest</t>
  </si>
  <si>
    <t>Total Ownership Cost / Year</t>
  </si>
  <si>
    <t>Total Annual Operating Costs</t>
  </si>
  <si>
    <t>Tractor, 30hp</t>
  </si>
  <si>
    <t>30 HP</t>
  </si>
  <si>
    <t>Tractor, 60hp</t>
  </si>
  <si>
    <t>60 HP</t>
  </si>
  <si>
    <t>9' Disc</t>
  </si>
  <si>
    <t>1/2 Ton Pickup</t>
  </si>
  <si>
    <t>Fertilizer Injector</t>
  </si>
  <si>
    <t>Plastic film</t>
  </si>
  <si>
    <t>Drip tape</t>
  </si>
  <si>
    <t>2 row - 40"/row</t>
  </si>
  <si>
    <t>110 gal</t>
  </si>
  <si>
    <t>Costs</t>
  </si>
  <si>
    <t>Annual Charges</t>
  </si>
  <si>
    <t>Monthly Labor Estimates</t>
  </si>
  <si>
    <t>(Hours)</t>
  </si>
  <si>
    <t>1 acre</t>
  </si>
  <si>
    <t>-</t>
  </si>
  <si>
    <t>Loan Interest Rate</t>
  </si>
  <si>
    <t>Insurance Rate</t>
  </si>
  <si>
    <t>Tax Rate</t>
  </si>
  <si>
    <t>Tractor 30 hp (D)</t>
  </si>
  <si>
    <t>Tractor 60 hp (D)</t>
  </si>
  <si>
    <t>Utility Vehicle (G)</t>
  </si>
  <si>
    <t>Annual Hours of Use</t>
  </si>
  <si>
    <t>$/lb</t>
  </si>
  <si>
    <t>Your</t>
  </si>
  <si>
    <t>Type of Operation</t>
  </si>
  <si>
    <t>pounds,  or</t>
  </si>
  <si>
    <t xml:space="preserve">   (Marketable Yield =</t>
  </si>
  <si>
    <t>Marketing Assumptions:</t>
  </si>
  <si>
    <t>Harvest Labor Cost</t>
  </si>
  <si>
    <t xml:space="preserve">Production Labor </t>
  </si>
  <si>
    <t>Selected Input prices:</t>
  </si>
  <si>
    <t>Capital Recovery</t>
  </si>
  <si>
    <t>Fixed   Cost/Hr</t>
  </si>
  <si>
    <t>Variable Cost/Hr</t>
  </si>
  <si>
    <t>Annual Depreciation</t>
  </si>
  <si>
    <t>Annual Fuel &amp; Lubricant Costs</t>
  </si>
  <si>
    <t>Repair &amp; Maintenance Cost</t>
  </si>
  <si>
    <t>Estimated Annual Total Cost/Yr</t>
  </si>
  <si>
    <t xml:space="preserve">Total   Cost/Hr </t>
  </si>
  <si>
    <t>Vehicle Description</t>
  </si>
  <si>
    <t>Estimated Fuel Price        ($/gal)</t>
  </si>
  <si>
    <t>Estimated Fuel Used per Hour (gals)</t>
  </si>
  <si>
    <t>Lubricants as a Percent of Fuel Cost</t>
  </si>
  <si>
    <t>Estimated Average Speed</t>
  </si>
  <si>
    <t>Estimated Fuel Cost/Hour</t>
  </si>
  <si>
    <t>Estimated Lubricant Cost/Hour</t>
  </si>
  <si>
    <t>Total Estimated Fuel &amp; Lube Cost/Hour</t>
  </si>
  <si>
    <t>This budget is only a guide and is not meant to be a substitute for growers calculating their own costs and estimating their own breakeven yields.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</si>
  <si>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</si>
  <si>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Budgeting Program Developed By:</t>
  </si>
  <si>
    <t>1/2 Ton Pickup (G)</t>
  </si>
  <si>
    <t>Owner Expense</t>
  </si>
  <si>
    <t>Employee Expense</t>
  </si>
  <si>
    <t xml:space="preserve"> pounds/acre</t>
  </si>
  <si>
    <t>Fuel and Lubricant Costs</t>
  </si>
  <si>
    <t>Estimated Average Mileage per Gallon</t>
  </si>
  <si>
    <t>Machinery and Vehicle by Fuel Type</t>
  </si>
  <si>
    <t>Subsoiler</t>
  </si>
  <si>
    <t>Rotary Spreader</t>
  </si>
  <si>
    <t>60 HP-WT &amp; Water Wheel</t>
  </si>
  <si>
    <t>ton</t>
  </si>
  <si>
    <t>Plastic Mulch Lifter</t>
  </si>
  <si>
    <t>Grain Drill</t>
  </si>
  <si>
    <t>Gasoline price</t>
  </si>
  <si>
    <t>Diesel price</t>
  </si>
  <si>
    <t>Total per Year</t>
  </si>
  <si>
    <t>Percent</t>
  </si>
  <si>
    <t>60 HP-WT &amp; Subsoiler</t>
  </si>
  <si>
    <t>60 HP-WT &amp; Rototiller</t>
  </si>
  <si>
    <t>Rototiller</t>
  </si>
  <si>
    <t>North Carolina State University, Raleigh, NC 27695-8109</t>
  </si>
  <si>
    <t>Researcher, Department of Agricultural and Resource Economics</t>
  </si>
  <si>
    <t xml:space="preserve">The values in the blue cells of the spreadsheets with red tabs are input values that users can either accept or </t>
  </si>
  <si>
    <t xml:space="preserve">replace with their own estimates. The values in all other cells are calculated based on the inputted values.  </t>
  </si>
  <si>
    <t xml:space="preserve">Users can receive a quick estimate of their costs and returns by entering their own estimates for the selected </t>
  </si>
  <si>
    <r>
      <t xml:space="preserve">"key" values displayed in the </t>
    </r>
    <r>
      <rPr>
        <i/>
        <sz val="10"/>
        <rFont val="Arial"/>
        <family val="2"/>
      </rPr>
      <t>Assumptions</t>
    </r>
    <r>
      <rPr>
        <sz val="10"/>
        <rFont val="Arial"/>
        <family val="0"/>
      </rPr>
      <t xml:space="preserve"> worksheet, while  those who would like more detailed estimates</t>
    </r>
  </si>
  <si>
    <t>Type operation</t>
  </si>
  <si>
    <t>Equipment used</t>
  </si>
  <si>
    <t>description</t>
  </si>
  <si>
    <t>qt</t>
  </si>
  <si>
    <t>LAND PREPARATION STAGE</t>
  </si>
  <si>
    <t xml:space="preserve"> wk 1</t>
  </si>
  <si>
    <t>Remove plastic from previous crop</t>
  </si>
  <si>
    <t>Hand</t>
  </si>
  <si>
    <t>wk 2</t>
  </si>
  <si>
    <t xml:space="preserve">Custom </t>
  </si>
  <si>
    <t>TOTAL June</t>
  </si>
  <si>
    <t>PRE-PLANT STAGE</t>
  </si>
  <si>
    <t>wk 1</t>
  </si>
  <si>
    <t>Subsoiling</t>
  </si>
  <si>
    <t>wk 3</t>
  </si>
  <si>
    <t>TOTAL August</t>
  </si>
  <si>
    <t>TRANS-PLANT STAGE</t>
  </si>
  <si>
    <t>wk 4</t>
  </si>
  <si>
    <t xml:space="preserve">Transplant plugs </t>
  </si>
  <si>
    <t>TOTAL September</t>
  </si>
  <si>
    <t>Replant (2%)</t>
  </si>
  <si>
    <t>Tissue sample</t>
  </si>
  <si>
    <t>kit</t>
  </si>
  <si>
    <t>Winterize drip system</t>
  </si>
  <si>
    <t>TOTAL October</t>
  </si>
  <si>
    <t>Apply floating row covers</t>
  </si>
  <si>
    <t>Apply row cover hold downs</t>
  </si>
  <si>
    <t>DORMANT STAGE</t>
  </si>
  <si>
    <t>Remove row cover</t>
  </si>
  <si>
    <t>Clean and weed beds</t>
  </si>
  <si>
    <t>TOTAL December</t>
  </si>
  <si>
    <t>TOTAL January</t>
  </si>
  <si>
    <t>Scout for insects, mites</t>
  </si>
  <si>
    <t>PRE-HARVEST STAGE</t>
  </si>
  <si>
    <t>Pull plants through plastic</t>
  </si>
  <si>
    <t>Connect drip system</t>
  </si>
  <si>
    <t>Check irrigation system</t>
  </si>
  <si>
    <t>Scout for strawberry weevil</t>
  </si>
  <si>
    <t>TOTAL February</t>
  </si>
  <si>
    <t>Pull plants and weed</t>
  </si>
  <si>
    <t>Inject fertilizer</t>
  </si>
  <si>
    <t>Re-apply row covers</t>
  </si>
  <si>
    <t>Rental</t>
  </si>
  <si>
    <t>hive</t>
  </si>
  <si>
    <t>TOTAL March</t>
  </si>
  <si>
    <t>HARVEST STAGE</t>
  </si>
  <si>
    <t>Pre-pick harvest labor</t>
  </si>
  <si>
    <t>Drip irrigation</t>
  </si>
  <si>
    <t>TOTAL April</t>
  </si>
  <si>
    <t xml:space="preserve">Drip irrigation </t>
  </si>
  <si>
    <t>Dis-assemble irrigation system</t>
  </si>
  <si>
    <t>TOTAL May</t>
  </si>
  <si>
    <t>Cumulative Total</t>
  </si>
  <si>
    <t xml:space="preserve">Costs of Producing, Harvesting and Marketing Strawberries  </t>
  </si>
  <si>
    <t>60 HP-WT &amp; Sprayer</t>
  </si>
  <si>
    <t>60 HP-WT &amp; Lifter</t>
  </si>
  <si>
    <t xml:space="preserve">Pickup </t>
  </si>
  <si>
    <t xml:space="preserve">60 HP-WT &amp; Tandem </t>
  </si>
  <si>
    <t>60 HP-WT &amp; Grain drill</t>
  </si>
  <si>
    <t>Lime</t>
  </si>
  <si>
    <t>Dispose plastic and tape</t>
  </si>
  <si>
    <t>Disk</t>
  </si>
  <si>
    <t>Plant cover crop</t>
  </si>
  <si>
    <t>Rotovate cover crop (x2)</t>
  </si>
  <si>
    <t>Break up soil clods</t>
  </si>
  <si>
    <t>TOTAL LAND PREPARATION STAGE</t>
  </si>
  <si>
    <t>TOTAL PRE-PLANT STAGE</t>
  </si>
  <si>
    <t>30 HP-WT</t>
  </si>
  <si>
    <t>Assemble irrigation system</t>
  </si>
  <si>
    <t>Seed ryegrass in aisles</t>
  </si>
  <si>
    <t>30 HP-WT &amp; Rot Spreader</t>
  </si>
  <si>
    <t>Irrigate plugs (x3)</t>
  </si>
  <si>
    <t>Drip System</t>
  </si>
  <si>
    <t xml:space="preserve">30 HP-WT   </t>
  </si>
  <si>
    <t>TOTAL TRANS-PLANT STAGE</t>
  </si>
  <si>
    <t>TOTAL DORMANT STAGE</t>
  </si>
  <si>
    <t>Pollinate with bees</t>
  </si>
  <si>
    <t>TOTAL PRE-HARVEST STAGE</t>
  </si>
  <si>
    <t>Strawberry Base Production Sequence (Per Acre Costs Calculated Based on 5-Acre Production)</t>
  </si>
  <si>
    <t>U-pick supervision</t>
  </si>
  <si>
    <t>Check-out area</t>
  </si>
  <si>
    <t>TOTAL HARVEST STAGE</t>
  </si>
  <si>
    <t>Total Annual</t>
  </si>
  <si>
    <t>sqr yd</t>
  </si>
  <si>
    <t>Remove dead foliage, weed beds</t>
  </si>
  <si>
    <t>Remove row covers</t>
  </si>
  <si>
    <t>Freeze protection</t>
  </si>
  <si>
    <t>Scout for fire ants, clipper, mites</t>
  </si>
  <si>
    <t xml:space="preserve">wk 3 </t>
  </si>
  <si>
    <t>PTO Blast Sprayer</t>
  </si>
  <si>
    <t>Remove &amp; dispose plastic from previous crop</t>
  </si>
  <si>
    <t>Total August</t>
  </si>
  <si>
    <t>Total September</t>
  </si>
  <si>
    <t>LAND PREPARATION</t>
  </si>
  <si>
    <t>TOTAL LAND PREPARATION</t>
  </si>
  <si>
    <t>PRE-PLANT</t>
  </si>
  <si>
    <t>TOTAL PRE-PLANT</t>
  </si>
  <si>
    <t>TRANS-PLANT</t>
  </si>
  <si>
    <t>This budget presents the estimated costs of producing and harvesting strawberries in the Southeastern United States. The cost estimates are presented on a per acre basis based on five-acre production model. It was also  assumed that the management would be near optimal and that all currently recommended practices by the Agricultural Extension Service would be followed.</t>
  </si>
  <si>
    <t xml:space="preserve">Projected Marketable Yields </t>
  </si>
  <si>
    <t>pounds/plant</t>
  </si>
  <si>
    <t>Plants/acre</t>
  </si>
  <si>
    <t>Harvest week 1</t>
  </si>
  <si>
    <t>Harvest week 2</t>
  </si>
  <si>
    <t>Harvest week 3</t>
  </si>
  <si>
    <t>Harvest week 4</t>
  </si>
  <si>
    <t>Harvest week 5</t>
  </si>
  <si>
    <t>Harvest week 6</t>
  </si>
  <si>
    <t>U-Pick</t>
  </si>
  <si>
    <t>Price</t>
  </si>
  <si>
    <t>Pre-Pick</t>
  </si>
  <si>
    <t>pounds/acre</t>
  </si>
  <si>
    <t>4qt basket</t>
  </si>
  <si>
    <t xml:space="preserve">4qt buckets/acre </t>
  </si>
  <si>
    <t>/4qt basket</t>
  </si>
  <si>
    <t>/pound</t>
  </si>
  <si>
    <t>/hour</t>
  </si>
  <si>
    <t>/gal</t>
  </si>
  <si>
    <t>ESTIMATED STRAWBERRY PRODUCTION COSTS PER ACRE</t>
  </si>
  <si>
    <t>Drip System &amp; Injector</t>
  </si>
  <si>
    <t>OH Irrigation System</t>
  </si>
  <si>
    <t>30 HP-WT &amp; OH Irrigation System</t>
  </si>
  <si>
    <t>TOTAL  PER GROWING SEASON</t>
  </si>
  <si>
    <t>4qt buckets)</t>
  </si>
  <si>
    <t>Drip irrigation (2hx2)</t>
  </si>
  <si>
    <t>Total October</t>
  </si>
  <si>
    <t>Total December</t>
  </si>
  <si>
    <t>Total January</t>
  </si>
  <si>
    <t>TOTAL TRANS-PLANT</t>
  </si>
  <si>
    <t>DORMANT</t>
  </si>
  <si>
    <t>TOTAL DORMANT</t>
  </si>
  <si>
    <t>PRE-HARVEST</t>
  </si>
  <si>
    <t>Total February</t>
  </si>
  <si>
    <t>Tissue sample (x2)</t>
  </si>
  <si>
    <t>Re-apply row covers (x2)</t>
  </si>
  <si>
    <t>Remove row cover (x2)</t>
  </si>
  <si>
    <t>Scout for pests (x2)</t>
  </si>
  <si>
    <t>Freeze protection (x2)</t>
  </si>
  <si>
    <t>Total March</t>
  </si>
  <si>
    <t>TOTAL PRE-HARVEST</t>
  </si>
  <si>
    <t>HARVEST</t>
  </si>
  <si>
    <t>Inject fertilizer and drip (2hx4)</t>
  </si>
  <si>
    <t>Inject fertilizer and drip (2hx3)</t>
  </si>
  <si>
    <t>Drip irrigation (2h)</t>
  </si>
  <si>
    <t>Inject fertilizer and drip (2h)</t>
  </si>
  <si>
    <t>Total April</t>
  </si>
  <si>
    <t>Inject fertilizer and drip (2hx2)</t>
  </si>
  <si>
    <t>Drip irrigation (12h)</t>
  </si>
  <si>
    <t>Total May</t>
  </si>
  <si>
    <t>TOTAL HARVEST</t>
  </si>
  <si>
    <t>TOTAL  VARIABLE PER GROWING SEASON</t>
  </si>
  <si>
    <t>Annual Administrative Costs and Taxes</t>
  </si>
  <si>
    <t>Total Annual Administrative Costs and Taxes</t>
  </si>
  <si>
    <t>U-pick</t>
  </si>
  <si>
    <t>Pre-pick</t>
  </si>
  <si>
    <t>Marketable yield</t>
  </si>
  <si>
    <t>lbs/acre</t>
  </si>
  <si>
    <t>Market price</t>
  </si>
  <si>
    <t>Gross revenue</t>
  </si>
  <si>
    <t>$/acre</t>
  </si>
  <si>
    <t>Production costs</t>
  </si>
  <si>
    <t>Administrative and taxes</t>
  </si>
  <si>
    <t>Net revenue</t>
  </si>
  <si>
    <t xml:space="preserve">Monthly Cost Estimates </t>
  </si>
  <si>
    <t>Stage</t>
  </si>
  <si>
    <t>Land Preparation</t>
  </si>
  <si>
    <t>Pre-Plant</t>
  </si>
  <si>
    <t>Trans-Plant</t>
  </si>
  <si>
    <t>Dormant</t>
  </si>
  <si>
    <t>Pre-Harvest</t>
  </si>
  <si>
    <t>Harvest</t>
  </si>
  <si>
    <t>Drip Irrigation System</t>
  </si>
  <si>
    <t>Apply compost</t>
  </si>
  <si>
    <t>60 HP-WT &amp; Spreader</t>
  </si>
  <si>
    <t>Compost spreader</t>
  </si>
  <si>
    <t>yd</t>
  </si>
  <si>
    <t>Inoculant</t>
  </si>
  <si>
    <t>Mow cover crop</t>
  </si>
  <si>
    <t>60 HP-WT &amp; Flail mower</t>
  </si>
  <si>
    <t>Set-up misting system</t>
  </si>
  <si>
    <t>Fill trays with soil</t>
  </si>
  <si>
    <t>Trays</t>
  </si>
  <si>
    <t>3 cu ft</t>
  </si>
  <si>
    <t>Mycorrhizae inoculant</t>
  </si>
  <si>
    <t>Vermicompost</t>
  </si>
  <si>
    <t>Moisten soil media</t>
  </si>
  <si>
    <t>Stick runner tips for plugs</t>
  </si>
  <si>
    <t>wk 1-4</t>
  </si>
  <si>
    <t>Irrigate and fertilize plugs</t>
  </si>
  <si>
    <t>Injector</t>
  </si>
  <si>
    <t>lb</t>
  </si>
  <si>
    <t>Hand sprayer</t>
  </si>
  <si>
    <t>Bush hog</t>
  </si>
  <si>
    <t>Alternative</t>
  </si>
  <si>
    <t>cell</t>
  </si>
  <si>
    <t>4 gal bag</t>
  </si>
  <si>
    <t>Olya Rysin</t>
  </si>
  <si>
    <t>Soil</t>
  </si>
  <si>
    <t>Spray mites</t>
  </si>
  <si>
    <t>4qt Harvest Basket</t>
  </si>
  <si>
    <t>/each</t>
  </si>
  <si>
    <t>Cost Estimates by Stages of Production</t>
  </si>
  <si>
    <t>Labor Estimates by Stages of Production</t>
  </si>
  <si>
    <t>Other</t>
  </si>
  <si>
    <t xml:space="preserve"> can fill in the blue cells in the Machinery and ProductionSequence worksheets. </t>
  </si>
  <si>
    <t>The spray schedule in this budget is based on a typical year, however, as any grower knows, each year is different and therefore your pests and means of control will likely vary from what is listed. Mention of a product or vendor does not constitute a guarantee or warranty of the product, nor does it imply recommendation of one product over another. Other products may be suitable depending on soils, weather conditions, farm history, and pest pressures. For the most up-to-date IPM recommendations see the Strawberry IPM Guide at smallfruit.org.</t>
  </si>
  <si>
    <t xml:space="preserve">Key Assumptions </t>
  </si>
  <si>
    <t>Estimated Returns per Acre</t>
  </si>
  <si>
    <t>Estimated Costs of Owning and Operating the Machinery and Equipment</t>
  </si>
  <si>
    <t>Weed beds, remove runners</t>
  </si>
  <si>
    <t>Plastic Layer, Bed Shaper</t>
  </si>
  <si>
    <t>Bed formation</t>
  </si>
  <si>
    <t>in the Southeastern United States: Organic Production</t>
  </si>
  <si>
    <t>Rotovate</t>
  </si>
  <si>
    <t xml:space="preserve">Rotovate </t>
  </si>
  <si>
    <t>Allganic sodium nitrate</t>
  </si>
  <si>
    <t>Peaceful Valley Liquid Grow</t>
  </si>
  <si>
    <t>Mover</t>
  </si>
  <si>
    <t>Mow aisles</t>
  </si>
  <si>
    <t>Mower</t>
  </si>
  <si>
    <t>Mow aisles (x2)</t>
  </si>
  <si>
    <t xml:space="preserve">Mow aisles </t>
  </si>
  <si>
    <t>TOTAL  COSTS</t>
  </si>
  <si>
    <t>SucraShield</t>
  </si>
  <si>
    <t>Spinosad</t>
  </si>
  <si>
    <t>Spot treat fireants</t>
  </si>
  <si>
    <t>February 2015</t>
  </si>
  <si>
    <t>Organic Certification</t>
  </si>
  <si>
    <t>Soybean, untreated</t>
  </si>
  <si>
    <t>Millet, untreated</t>
  </si>
  <si>
    <t>60 HP-WT &amp; Bed Shaper</t>
  </si>
  <si>
    <t>Allganic potassium sulfate</t>
  </si>
  <si>
    <t>Mitigation Associated Costs for Certification</t>
  </si>
  <si>
    <t>Organic Record Keeping and Training</t>
  </si>
  <si>
    <t>hour</t>
  </si>
  <si>
    <t>Botrytis control</t>
  </si>
  <si>
    <t>Oxide 2.0</t>
  </si>
  <si>
    <t>gal</t>
  </si>
  <si>
    <t>Botrytis control (x2)</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</si>
</sst>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409]#,##0.00"/>
    <numFmt numFmtId="168" formatCode="[$$-409]#,##0.000"/>
    <numFmt numFmtId="169" formatCode="#,##0.000"/>
    <numFmt numFmtId="170" formatCode="_(&quot;$&quot;* #,##0.000_);_(&quot;$&quot;* \(#,##0.000\);_(&quot;$&quot;* &quot;-&quot;???_);_(@_)"/>
    <numFmt numFmtId="171" formatCode="&quot;$&quot;#,##0.000_);\(&quot;$&quot;#,##0.000\)"/>
    <numFmt numFmtId="172" formatCode="&quot;$&quot;#,##0.000;[Red]&quot;$&quot;#,##0.000"/>
    <numFmt numFmtId="173" formatCode="#,##0.000;[Red]#,##0.000"/>
    <numFmt numFmtId="174" formatCode="&quot;$&quot;#,##0.00;[Red]&quot;$&quot;#,##0.00"/>
    <numFmt numFmtId="175" formatCode="&quot;Yes&quot;;&quot;Yes&quot;;&quot;No&quot;"/>
    <numFmt numFmtId="176" formatCode="&quot;True&quot;;&quot;True&quot;;&quot;False&quot;"/>
    <numFmt numFmtId="177" formatCode="&quot;On&quot;;&quot;On&quot;;&quot;Off&quot;"/>
    <numFmt numFmtId="178" formatCode="[$€-2]\ #,##0.00_);[Red]\([$€-2]\ #,##0.00\)"/>
    <numFmt numFmtId="179" formatCode="&quot;$&quot;#,##0.000_);[Red]\(&quot;$&quot;#,##0.000\)"/>
    <numFmt numFmtId="180" formatCode="&quot;$&quot;#,##0"/>
    <numFmt numFmtId="181" formatCode="_(* #,##0_);_(* \(#,##0\);_(* &quot;-&quot;??_);_(@_)"/>
    <numFmt numFmtId="182" formatCode="#,##0;[Red]#,##0"/>
    <numFmt numFmtId="183" formatCode="_(* #,##0.000_);_(* \(#,##0.000\);_(* &quot;-&quot;???_);_(@_)"/>
    <numFmt numFmtId="184" formatCode="_(* #,##0.00000_);_(* \(#,##0.00000\);_(* &quot;-&quot;?????_);_(@_)"/>
    <numFmt numFmtId="185" formatCode="0.0000"/>
    <numFmt numFmtId="186" formatCode="&quot;$&quot;#,##0.0000"/>
    <numFmt numFmtId="187" formatCode="[$-409]h:mm:ss\ AM/PM"/>
    <numFmt numFmtId="188" formatCode="0.0"/>
    <numFmt numFmtId="189" formatCode="_(* #,##0.0_);_(* \(#,##0.0\);_(* &quot;-&quot;?_);_(@_)"/>
    <numFmt numFmtId="190" formatCode="&quot;$&quot;#,##0.0000_);[Red]\(&quot;$&quot;#,##0.0000\)"/>
    <numFmt numFmtId="191" formatCode="0.0%"/>
    <numFmt numFmtId="192" formatCode="#,##0.0"/>
    <numFmt numFmtId="193" formatCode="&quot;$&quot;#,##0.000000"/>
    <numFmt numFmtId="194" formatCode="&quot;$&quot;#,##0.00000"/>
    <numFmt numFmtId="195" formatCode="#,##0.0000"/>
    <numFmt numFmtId="196" formatCode="#,##0.000_);\(#,##0.000\)"/>
    <numFmt numFmtId="197" formatCode="&quot;$&quot;#,##0.000000000"/>
    <numFmt numFmtId="198" formatCode="#,##0.000_);[Red]\(#,##0.000\)"/>
    <numFmt numFmtId="199" formatCode="0.000%"/>
    <numFmt numFmtId="200" formatCode="&quot;$&quot;#,##0.0000000"/>
    <numFmt numFmtId="201" formatCode="&quot;$&quot;#,##0.00000000"/>
    <numFmt numFmtId="202" formatCode="#,##0.0000_);[Red]\(#,##0.0000\)"/>
    <numFmt numFmtId="203" formatCode="&quot;$&quot;#,##0.0"/>
    <numFmt numFmtId="204" formatCode="[$-409]dddd\,\ mmmm\ dd\,\ yyyy"/>
    <numFmt numFmtId="205" formatCode="[$-409]d\-mmm\-yy;@"/>
    <numFmt numFmtId="206" formatCode="[$-409]d\-mmm\-yyyy;@"/>
    <numFmt numFmtId="207" formatCode="[$-409]mmmm\-yy;@"/>
    <numFmt numFmtId="208" formatCode="[$-409]mmm\-yy;@"/>
    <numFmt numFmtId="209" formatCode="&quot;$&quot;#,##0.0_);[Red]\(&quot;$&quot;#,##0.0\)"/>
    <numFmt numFmtId="210" formatCode="_(* #,##0.0_);_(* \(#,##0.0\);_(* &quot;-&quot;??_);_(@_)"/>
    <numFmt numFmtId="211" formatCode="#,##0.00;[Red]#,##0.00"/>
    <numFmt numFmtId="212" formatCode="#,##0.0;[Red]#,##0.0"/>
    <numFmt numFmtId="213" formatCode="_(* #,##0.000_);_(* \(#,##0.000\);_(* &quot;-&quot;??_);_(@_)"/>
    <numFmt numFmtId="214" formatCode="_(* #,##0.0000_);_(* \(#,##0.0000\);_(* &quot;-&quot;??_);_(@_)"/>
  </numFmts>
  <fonts count="71">
    <font>
      <sz val="10"/>
      <name val="Arial"/>
      <family val="0"/>
    </font>
    <font>
      <b/>
      <sz val="6"/>
      <name val="Arial"/>
      <family val="2"/>
    </font>
    <font>
      <sz val="6"/>
      <name val="Arial"/>
      <family val="2"/>
    </font>
    <font>
      <u val="single"/>
      <sz val="10"/>
      <color indexed="30"/>
      <name val="Arial"/>
      <family val="2"/>
    </font>
    <font>
      <u val="single"/>
      <sz val="10"/>
      <color indexed="20"/>
      <name val="Arial"/>
      <family val="2"/>
    </font>
    <font>
      <b/>
      <sz val="8"/>
      <name val="Arial"/>
      <family val="2"/>
    </font>
    <font>
      <b/>
      <sz val="10"/>
      <name val="Arial"/>
      <family val="0"/>
    </font>
    <font>
      <sz val="8"/>
      <name val="Arial"/>
      <family val="0"/>
    </font>
    <font>
      <b/>
      <i/>
      <sz val="8"/>
      <name val="Arial"/>
      <family val="2"/>
    </font>
    <font>
      <sz val="9"/>
      <name val="Arial"/>
      <family val="2"/>
    </font>
    <font>
      <sz val="10"/>
      <color indexed="12"/>
      <name val="Arial"/>
      <family val="2"/>
    </font>
    <font>
      <sz val="10"/>
      <name val="Times New Roman"/>
      <family val="1"/>
    </font>
    <font>
      <sz val="8"/>
      <color indexed="12"/>
      <name val="Arial"/>
      <family val="2"/>
    </font>
    <font>
      <b/>
      <sz val="12"/>
      <name val="Arial"/>
      <family val="2"/>
    </font>
    <font>
      <sz val="12"/>
      <name val="Arial"/>
      <family val="2"/>
    </font>
    <font>
      <b/>
      <sz val="9"/>
      <name val="Arial"/>
      <family val="2"/>
    </font>
    <font>
      <sz val="9"/>
      <color indexed="8"/>
      <name val="Arial"/>
      <family val="2"/>
    </font>
    <font>
      <b/>
      <sz val="11"/>
      <name val="Arial"/>
      <family val="2"/>
    </font>
    <font>
      <sz val="11"/>
      <name val="Arial"/>
      <family val="2"/>
    </font>
    <font>
      <sz val="12"/>
      <name val="Times New Roman"/>
      <family val="1"/>
    </font>
    <font>
      <i/>
      <sz val="10"/>
      <name val="Arial"/>
      <family val="2"/>
    </font>
    <font>
      <b/>
      <i/>
      <sz val="8"/>
      <color indexed="62"/>
      <name val="Arial"/>
      <family val="2"/>
    </font>
    <font>
      <sz val="8"/>
      <color indexed="13"/>
      <name val="Arial"/>
      <family val="2"/>
    </font>
    <font>
      <i/>
      <sz val="8"/>
      <name val="Arial"/>
      <family val="2"/>
    </font>
    <font>
      <sz val="5"/>
      <name val="Arial"/>
      <family val="2"/>
    </font>
    <font>
      <b/>
      <sz val="7"/>
      <color indexed="61"/>
      <name val="Arial"/>
      <family val="2"/>
    </font>
    <font>
      <b/>
      <sz val="8"/>
      <color indexed="10"/>
      <name val="Arial"/>
      <family val="2"/>
    </font>
    <font>
      <b/>
      <sz val="8"/>
      <color indexed="57"/>
      <name val="Arial"/>
      <family val="2"/>
    </font>
    <font>
      <b/>
      <sz val="8"/>
      <color indexed="12"/>
      <name val="Arial"/>
      <family val="2"/>
    </font>
    <font>
      <b/>
      <sz val="8"/>
      <color indexed="61"/>
      <name val="Arial"/>
      <family val="2"/>
    </font>
    <font>
      <b/>
      <i/>
      <sz val="8"/>
      <color indexed="10"/>
      <name val="Arial"/>
      <family val="2"/>
    </font>
    <font>
      <b/>
      <i/>
      <sz val="8"/>
      <color indexed="57"/>
      <name val="Arial"/>
      <family val="2"/>
    </font>
    <font>
      <b/>
      <i/>
      <sz val="8"/>
      <color indexed="12"/>
      <name val="Arial"/>
      <family val="2"/>
    </font>
    <font>
      <b/>
      <i/>
      <sz val="8"/>
      <color indexed="20"/>
      <name val="Arial"/>
      <family val="2"/>
    </font>
    <font>
      <sz val="5"/>
      <color indexed="20"/>
      <name val="Arial"/>
      <family val="2"/>
    </font>
    <font>
      <b/>
      <i/>
      <sz val="10"/>
      <color indexed="20"/>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2"/>
        <bgColor indexed="64"/>
      </patternFill>
    </fill>
    <fill>
      <patternFill patternType="solid">
        <fgColor rgb="FFFFFF00"/>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style="thin"/>
      <top>
        <color indexed="63"/>
      </top>
      <bottom>
        <color indexed="63"/>
      </bottom>
    </border>
    <border>
      <left style="thin"/>
      <right style="thin"/>
      <top>
        <color indexed="63"/>
      </top>
      <bottom>
        <color indexed="63"/>
      </bottom>
    </border>
    <border>
      <left style="thick"/>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double"/>
      <bottom>
        <color indexed="63"/>
      </bottom>
    </border>
    <border>
      <left style="thin"/>
      <right style="thick"/>
      <top style="double"/>
      <bottom>
        <color indexed="63"/>
      </bottom>
    </border>
    <border>
      <left style="thick"/>
      <right style="thin"/>
      <top style="double"/>
      <bottom style="thin"/>
    </border>
    <border>
      <left style="thick"/>
      <right style="thin"/>
      <top style="thin"/>
      <bottom style="thin"/>
    </border>
    <border>
      <left style="medium"/>
      <right style="medium"/>
      <top>
        <color indexed="63"/>
      </top>
      <bottom style="thin"/>
    </border>
    <border>
      <left style="medium"/>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thick"/>
      <top style="thin"/>
      <bottom style="thin"/>
    </border>
    <border>
      <left style="thin"/>
      <right style="thin"/>
      <top style="double"/>
      <bottom style="thin"/>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style="thin"/>
      <right style="thick"/>
      <top style="double"/>
      <bottom style="thin"/>
    </border>
    <border>
      <left style="medium"/>
      <right style="medium"/>
      <top style="medium"/>
      <bottom style="double"/>
    </border>
    <border>
      <left style="medium"/>
      <right style="medium"/>
      <top style="thick"/>
      <bottom style="double"/>
    </border>
    <border>
      <left style="medium"/>
      <right style="thick"/>
      <top style="thick"/>
      <bottom style="double"/>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double"/>
    </border>
    <border>
      <left style="thin"/>
      <right style="thin"/>
      <top>
        <color indexed="63"/>
      </top>
      <bottom style="thin"/>
    </border>
    <border>
      <left>
        <color indexed="63"/>
      </left>
      <right>
        <color indexed="63"/>
      </right>
      <top style="thin"/>
      <bottom>
        <color indexed="63"/>
      </bottom>
    </border>
    <border>
      <left style="thin"/>
      <right>
        <color indexed="63"/>
      </right>
      <top style="double"/>
      <bottom style="thin"/>
    </border>
    <border>
      <left style="thin"/>
      <right>
        <color indexed="63"/>
      </right>
      <top style="thin"/>
      <bottom style="thin"/>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0" applyNumberFormat="0" applyBorder="0" applyAlignment="0" applyProtection="0"/>
    <xf numFmtId="0" fontId="57" fillId="28" borderId="1" applyNumberFormat="0" applyAlignment="0" applyProtection="0"/>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1" borderId="1" applyNumberFormat="0" applyAlignment="0" applyProtection="0"/>
    <xf numFmtId="0" fontId="65" fillId="0" borderId="6" applyNumberFormat="0" applyFill="0" applyAlignment="0" applyProtection="0"/>
    <xf numFmtId="0" fontId="66" fillId="32" borderId="0" applyNumberFormat="0" applyBorder="0" applyAlignment="0" applyProtection="0"/>
    <xf numFmtId="0" fontId="0" fillId="33" borderId="7" applyNumberFormat="0" applyFont="0" applyAlignment="0" applyProtection="0"/>
    <xf numFmtId="0" fontId="67" fillId="28"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3">
    <xf numFmtId="0" fontId="0" fillId="2" borderId="0" xfId="0" applyAlignment="1">
      <alignment/>
    </xf>
    <xf numFmtId="0" fontId="2" fillId="0" borderId="0" xfId="0" applyFont="1" applyFill="1" applyBorder="1" applyAlignment="1">
      <alignment/>
    </xf>
    <xf numFmtId="0" fontId="2" fillId="0" borderId="0" xfId="0" applyFont="1" applyFill="1" applyAlignment="1">
      <alignment/>
    </xf>
    <xf numFmtId="0" fontId="6" fillId="2" borderId="0" xfId="0" applyFont="1" applyAlignment="1">
      <alignment/>
    </xf>
    <xf numFmtId="0" fontId="0" fillId="2" borderId="0" xfId="0" applyAlignment="1">
      <alignment horizontal="left"/>
    </xf>
    <xf numFmtId="2" fontId="0" fillId="2" borderId="0" xfId="0" applyNumberFormat="1" applyAlignment="1">
      <alignment/>
    </xf>
    <xf numFmtId="2" fontId="7" fillId="0" borderId="0" xfId="0" applyNumberFormat="1" applyFont="1" applyFill="1" applyBorder="1" applyAlignment="1">
      <alignment/>
    </xf>
    <xf numFmtId="0" fontId="7" fillId="2" borderId="0" xfId="0" applyFont="1" applyBorder="1" applyAlignment="1">
      <alignment/>
    </xf>
    <xf numFmtId="181" fontId="7" fillId="0" borderId="0" xfId="42" applyNumberFormat="1" applyFont="1" applyBorder="1" applyAlignment="1">
      <alignment horizontal="left"/>
    </xf>
    <xf numFmtId="43" fontId="7" fillId="0" borderId="0" xfId="42" applyNumberFormat="1" applyFont="1" applyBorder="1" applyAlignment="1">
      <alignment horizontal="left"/>
    </xf>
    <xf numFmtId="43" fontId="7" fillId="0" borderId="0" xfId="42" applyNumberFormat="1" applyFont="1" applyBorder="1" applyAlignment="1">
      <alignment/>
    </xf>
    <xf numFmtId="0" fontId="0" fillId="2" borderId="0" xfId="0" applyAlignment="1">
      <alignment horizontal="center"/>
    </xf>
    <xf numFmtId="0" fontId="0" fillId="2" borderId="0" xfId="0" applyFont="1" applyAlignment="1">
      <alignment/>
    </xf>
    <xf numFmtId="0" fontId="7" fillId="2" borderId="0" xfId="0" applyFont="1" applyAlignment="1">
      <alignment/>
    </xf>
    <xf numFmtId="0" fontId="6" fillId="2" borderId="0" xfId="0" applyFont="1" applyBorder="1" applyAlignment="1">
      <alignment/>
    </xf>
    <xf numFmtId="181" fontId="0" fillId="0" borderId="0" xfId="42" applyNumberFormat="1" applyFont="1" applyBorder="1" applyAlignment="1">
      <alignment horizontal="left"/>
    </xf>
    <xf numFmtId="0" fontId="7" fillId="2" borderId="10" xfId="0" applyFont="1" applyBorder="1" applyAlignment="1">
      <alignment/>
    </xf>
    <xf numFmtId="181" fontId="7" fillId="0" borderId="10" xfId="42" applyNumberFormat="1" applyFont="1" applyBorder="1" applyAlignment="1">
      <alignment horizontal="left"/>
    </xf>
    <xf numFmtId="43" fontId="7" fillId="0" borderId="10" xfId="42" applyNumberFormat="1" applyFont="1" applyBorder="1" applyAlignment="1">
      <alignment horizontal="left"/>
    </xf>
    <xf numFmtId="43" fontId="7" fillId="0" borderId="10" xfId="42" applyNumberFormat="1" applyFont="1" applyBorder="1" applyAlignment="1">
      <alignment/>
    </xf>
    <xf numFmtId="0" fontId="12" fillId="34" borderId="11" xfId="0" applyFont="1" applyFill="1" applyBorder="1" applyAlignment="1">
      <alignment/>
    </xf>
    <xf numFmtId="181" fontId="12" fillId="0" borderId="12" xfId="42" applyNumberFormat="1" applyFont="1" applyBorder="1" applyAlignment="1">
      <alignment horizontal="left"/>
    </xf>
    <xf numFmtId="43" fontId="12" fillId="0" borderId="12" xfId="42" applyNumberFormat="1" applyFont="1" applyBorder="1" applyAlignment="1">
      <alignment horizontal="left"/>
    </xf>
    <xf numFmtId="183" fontId="12" fillId="0" borderId="12" xfId="42" applyNumberFormat="1" applyFont="1" applyBorder="1" applyAlignment="1">
      <alignment/>
    </xf>
    <xf numFmtId="183" fontId="12" fillId="0" borderId="12" xfId="42" applyNumberFormat="1" applyFont="1" applyBorder="1" applyAlignment="1">
      <alignment horizontal="left"/>
    </xf>
    <xf numFmtId="0" fontId="12" fillId="2" borderId="12" xfId="0" applyFont="1" applyBorder="1" applyAlignment="1" quotePrefix="1">
      <alignment horizontal="center"/>
    </xf>
    <xf numFmtId="0" fontId="13" fillId="0" borderId="0" xfId="0" applyFont="1" applyFill="1" applyAlignment="1">
      <alignment/>
    </xf>
    <xf numFmtId="4" fontId="14" fillId="0" borderId="0" xfId="0" applyNumberFormat="1" applyFont="1" applyFill="1" applyBorder="1" applyAlignment="1">
      <alignment horizontal="right"/>
    </xf>
    <xf numFmtId="0" fontId="9" fillId="0" borderId="0" xfId="0" applyFont="1" applyFill="1" applyBorder="1" applyAlignment="1">
      <alignment/>
    </xf>
    <xf numFmtId="0" fontId="9" fillId="2" borderId="0" xfId="0" applyFont="1" applyBorder="1" applyAlignment="1">
      <alignment/>
    </xf>
    <xf numFmtId="0" fontId="7" fillId="0" borderId="0" xfId="0" applyFont="1" applyFill="1" applyBorder="1" applyAlignment="1">
      <alignment/>
    </xf>
    <xf numFmtId="0" fontId="9" fillId="2" borderId="0" xfId="0" applyFont="1" applyBorder="1" applyAlignment="1">
      <alignment horizontal="right"/>
    </xf>
    <xf numFmtId="0" fontId="9" fillId="2" borderId="0" xfId="0" applyFont="1" applyBorder="1" applyAlignment="1">
      <alignment horizontal="left"/>
    </xf>
    <xf numFmtId="164" fontId="0" fillId="2" borderId="0" xfId="0" applyNumberFormat="1" applyAlignment="1">
      <alignment/>
    </xf>
    <xf numFmtId="0" fontId="14" fillId="2" borderId="0" xfId="0" applyFont="1" applyAlignment="1">
      <alignment/>
    </xf>
    <xf numFmtId="164" fontId="14" fillId="2" borderId="0" xfId="0" applyNumberFormat="1" applyFont="1" applyAlignment="1">
      <alignment/>
    </xf>
    <xf numFmtId="164" fontId="14" fillId="0" borderId="0" xfId="0" applyNumberFormat="1" applyFont="1" applyFill="1" applyBorder="1" applyAlignment="1">
      <alignment/>
    </xf>
    <xf numFmtId="181" fontId="12" fillId="0" borderId="0" xfId="42" applyNumberFormat="1" applyFont="1" applyBorder="1" applyAlignment="1">
      <alignment horizontal="left"/>
    </xf>
    <xf numFmtId="43" fontId="12" fillId="0" borderId="0" xfId="42" applyNumberFormat="1" applyFont="1" applyBorder="1" applyAlignment="1">
      <alignment horizontal="left"/>
    </xf>
    <xf numFmtId="183" fontId="12" fillId="0" borderId="0" xfId="42" applyNumberFormat="1" applyFont="1" applyBorder="1" applyAlignment="1">
      <alignment/>
    </xf>
    <xf numFmtId="0" fontId="12" fillId="34" borderId="13" xfId="0" applyFont="1" applyFill="1" applyBorder="1" applyAlignment="1">
      <alignment/>
    </xf>
    <xf numFmtId="0" fontId="12" fillId="2" borderId="0" xfId="0" applyFont="1" applyBorder="1" applyAlignment="1" quotePrefix="1">
      <alignment horizontal="center"/>
    </xf>
    <xf numFmtId="183" fontId="12" fillId="0" borderId="0" xfId="42" applyNumberFormat="1" applyFont="1" applyBorder="1" applyAlignment="1">
      <alignment horizontal="left"/>
    </xf>
    <xf numFmtId="0" fontId="6" fillId="2" borderId="0" xfId="0" applyFont="1" applyAlignment="1">
      <alignment horizontal="center"/>
    </xf>
    <xf numFmtId="0" fontId="6" fillId="2" borderId="0" xfId="0" applyFont="1" applyAlignment="1">
      <alignment/>
    </xf>
    <xf numFmtId="0" fontId="0" fillId="2" borderId="0" xfId="0" applyAlignment="1">
      <alignment/>
    </xf>
    <xf numFmtId="0" fontId="15" fillId="2" borderId="14" xfId="0" applyFont="1" applyBorder="1" applyAlignment="1">
      <alignment/>
    </xf>
    <xf numFmtId="0" fontId="0" fillId="2" borderId="15" xfId="0" applyBorder="1" applyAlignment="1">
      <alignment/>
    </xf>
    <xf numFmtId="0" fontId="0" fillId="2" borderId="0" xfId="0" applyFont="1" applyBorder="1" applyAlignment="1">
      <alignment/>
    </xf>
    <xf numFmtId="0" fontId="15" fillId="2" borderId="0" xfId="0" applyFont="1" applyAlignment="1">
      <alignment horizontal="center"/>
    </xf>
    <xf numFmtId="0" fontId="15" fillId="2" borderId="14" xfId="0" applyFont="1" applyBorder="1" applyAlignment="1">
      <alignment horizontal="center"/>
    </xf>
    <xf numFmtId="0" fontId="9" fillId="2" borderId="0" xfId="0" applyFont="1" applyAlignment="1">
      <alignment/>
    </xf>
    <xf numFmtId="4" fontId="9" fillId="2" borderId="0" xfId="0" applyNumberFormat="1" applyFont="1" applyAlignment="1">
      <alignment/>
    </xf>
    <xf numFmtId="0" fontId="9" fillId="2" borderId="16" xfId="0" applyFont="1" applyBorder="1" applyAlignment="1">
      <alignment/>
    </xf>
    <xf numFmtId="0" fontId="9" fillId="2" borderId="15" xfId="0" applyFont="1" applyBorder="1" applyAlignment="1">
      <alignment/>
    </xf>
    <xf numFmtId="0" fontId="0" fillId="2" borderId="17" xfId="0" applyBorder="1" applyAlignment="1">
      <alignment/>
    </xf>
    <xf numFmtId="166" fontId="0" fillId="2" borderId="0" xfId="0" applyNumberFormat="1" applyAlignment="1">
      <alignment/>
    </xf>
    <xf numFmtId="0" fontId="0" fillId="2" borderId="0" xfId="0" applyBorder="1" applyAlignment="1">
      <alignment/>
    </xf>
    <xf numFmtId="0" fontId="9" fillId="2" borderId="17" xfId="0" applyFont="1" applyBorder="1" applyAlignment="1">
      <alignment/>
    </xf>
    <xf numFmtId="0" fontId="0" fillId="35" borderId="0" xfId="0" applyFont="1" applyFill="1" applyAlignment="1">
      <alignment/>
    </xf>
    <xf numFmtId="0" fontId="0" fillId="36" borderId="0" xfId="0" applyFill="1" applyAlignment="1">
      <alignment/>
    </xf>
    <xf numFmtId="2" fontId="0" fillId="36" borderId="0" xfId="0" applyNumberFormat="1" applyFill="1" applyAlignment="1">
      <alignment/>
    </xf>
    <xf numFmtId="164" fontId="0" fillId="2" borderId="0" xfId="0" applyNumberFormat="1" applyFont="1" applyAlignment="1">
      <alignment/>
    </xf>
    <xf numFmtId="0" fontId="13" fillId="35" borderId="0" xfId="0" applyFont="1" applyFill="1" applyAlignment="1">
      <alignment/>
    </xf>
    <xf numFmtId="0" fontId="15" fillId="2" borderId="14" xfId="0" applyFont="1" applyBorder="1" applyAlignment="1">
      <alignment/>
    </xf>
    <xf numFmtId="3" fontId="15" fillId="2" borderId="14" xfId="0" applyNumberFormat="1" applyFont="1" applyBorder="1" applyAlignment="1">
      <alignment horizontal="center"/>
    </xf>
    <xf numFmtId="2" fontId="0" fillId="36" borderId="0" xfId="0" applyNumberFormat="1" applyFill="1" applyBorder="1" applyAlignment="1">
      <alignment/>
    </xf>
    <xf numFmtId="43" fontId="9" fillId="0" borderId="18" xfId="42" applyNumberFormat="1" applyFont="1" applyBorder="1" applyAlignment="1">
      <alignment horizontal="left"/>
    </xf>
    <xf numFmtId="183" fontId="15" fillId="37" borderId="19" xfId="42" applyNumberFormat="1" applyFont="1" applyFill="1" applyBorder="1" applyAlignment="1">
      <alignment/>
    </xf>
    <xf numFmtId="0" fontId="16" fillId="34" borderId="20" xfId="0" applyFont="1" applyFill="1" applyBorder="1" applyAlignment="1">
      <alignment/>
    </xf>
    <xf numFmtId="43" fontId="9" fillId="0" borderId="12" xfId="42" applyNumberFormat="1" applyFont="1" applyBorder="1" applyAlignment="1">
      <alignment horizontal="left"/>
    </xf>
    <xf numFmtId="0" fontId="16" fillId="34" borderId="21" xfId="0" applyFont="1" applyFill="1" applyBorder="1" applyAlignment="1">
      <alignment/>
    </xf>
    <xf numFmtId="0" fontId="9" fillId="34" borderId="21" xfId="0" applyFont="1" applyFill="1" applyBorder="1" applyAlignment="1">
      <alignment/>
    </xf>
    <xf numFmtId="196" fontId="9" fillId="2" borderId="16" xfId="0" applyNumberFormat="1" applyFont="1" applyBorder="1" applyAlignment="1">
      <alignment/>
    </xf>
    <xf numFmtId="43" fontId="9" fillId="0" borderId="22" xfId="42" applyNumberFormat="1" applyFont="1" applyBorder="1" applyAlignment="1">
      <alignment horizontal="left"/>
    </xf>
    <xf numFmtId="43" fontId="9" fillId="0" borderId="23" xfId="42" applyNumberFormat="1" applyFont="1" applyBorder="1" applyAlignment="1">
      <alignment horizontal="left"/>
    </xf>
    <xf numFmtId="0" fontId="6" fillId="38" borderId="24" xfId="0" applyNumberFormat="1" applyFont="1" applyFill="1" applyBorder="1" applyAlignment="1">
      <alignment horizontal="center" vertical="center" wrapText="1"/>
    </xf>
    <xf numFmtId="0" fontId="15" fillId="38" borderId="25" xfId="42" applyNumberFormat="1" applyFont="1" applyFill="1" applyBorder="1" applyAlignment="1">
      <alignment horizontal="center" vertical="center" wrapText="1"/>
    </xf>
    <xf numFmtId="0" fontId="5" fillId="38" borderId="26" xfId="42" applyNumberFormat="1" applyFont="1" applyFill="1" applyBorder="1" applyAlignment="1">
      <alignment horizontal="center" vertical="center" wrapText="1"/>
    </xf>
    <xf numFmtId="0" fontId="15" fillId="38" borderId="26" xfId="42" applyNumberFormat="1" applyFont="1" applyFill="1" applyBorder="1" applyAlignment="1">
      <alignment horizontal="center" vertical="center" wrapText="1"/>
    </xf>
    <xf numFmtId="0" fontId="15" fillId="38" borderId="24" xfId="0" applyNumberFormat="1" applyFont="1" applyFill="1" applyBorder="1" applyAlignment="1">
      <alignment horizontal="center" vertical="center" wrapText="1"/>
    </xf>
    <xf numFmtId="183" fontId="15" fillId="37" borderId="27" xfId="42" applyNumberFormat="1" applyFont="1" applyFill="1" applyBorder="1" applyAlignment="1">
      <alignment/>
    </xf>
    <xf numFmtId="0" fontId="16" fillId="2" borderId="28" xfId="0" applyFont="1" applyBorder="1" applyAlignment="1">
      <alignment horizontal="center"/>
    </xf>
    <xf numFmtId="43" fontId="9" fillId="0" borderId="28" xfId="42" applyNumberFormat="1" applyFont="1" applyBorder="1" applyAlignment="1">
      <alignment horizontal="left"/>
    </xf>
    <xf numFmtId="181" fontId="9" fillId="0" borderId="28" xfId="42" applyNumberFormat="1" applyFont="1" applyBorder="1" applyAlignment="1">
      <alignment horizontal="left"/>
    </xf>
    <xf numFmtId="0" fontId="16" fillId="2" borderId="29" xfId="0" applyFont="1" applyBorder="1" applyAlignment="1">
      <alignment horizontal="center"/>
    </xf>
    <xf numFmtId="43" fontId="9" fillId="0" borderId="29" xfId="42" applyNumberFormat="1" applyFont="1" applyBorder="1" applyAlignment="1">
      <alignment horizontal="left"/>
    </xf>
    <xf numFmtId="0" fontId="9" fillId="2" borderId="29" xfId="0" applyFont="1" applyBorder="1" applyAlignment="1">
      <alignment horizontal="center"/>
    </xf>
    <xf numFmtId="43" fontId="9" fillId="0" borderId="30" xfId="42" applyNumberFormat="1" applyFont="1" applyBorder="1" applyAlignment="1">
      <alignment horizontal="left"/>
    </xf>
    <xf numFmtId="43" fontId="9" fillId="0" borderId="31" xfId="42" applyNumberFormat="1" applyFont="1" applyBorder="1" applyAlignment="1">
      <alignment horizontal="left"/>
    </xf>
    <xf numFmtId="43" fontId="9" fillId="0" borderId="28" xfId="42" applyNumberFormat="1" applyFont="1" applyBorder="1" applyAlignment="1">
      <alignment/>
    </xf>
    <xf numFmtId="183" fontId="9" fillId="0" borderId="28" xfId="42" applyNumberFormat="1" applyFont="1" applyBorder="1" applyAlignment="1">
      <alignment/>
    </xf>
    <xf numFmtId="43" fontId="9" fillId="0" borderId="29" xfId="42" applyNumberFormat="1" applyFont="1" applyBorder="1" applyAlignment="1">
      <alignment/>
    </xf>
    <xf numFmtId="183" fontId="9" fillId="0" borderId="29" xfId="42" applyNumberFormat="1" applyFont="1" applyBorder="1" applyAlignment="1">
      <alignment/>
    </xf>
    <xf numFmtId="0" fontId="9" fillId="34" borderId="20" xfId="0" applyFont="1" applyFill="1" applyBorder="1" applyAlignment="1">
      <alignment/>
    </xf>
    <xf numFmtId="0" fontId="9" fillId="2" borderId="28" xfId="0" applyFont="1" applyBorder="1" applyAlignment="1">
      <alignment horizontal="center"/>
    </xf>
    <xf numFmtId="183" fontId="9" fillId="0" borderId="28" xfId="42" applyNumberFormat="1" applyFont="1" applyBorder="1" applyAlignment="1">
      <alignment horizontal="left"/>
    </xf>
    <xf numFmtId="0" fontId="9" fillId="34" borderId="28" xfId="0" applyFont="1" applyFill="1" applyBorder="1" applyAlignment="1">
      <alignment/>
    </xf>
    <xf numFmtId="196" fontId="9" fillId="2" borderId="28" xfId="0" applyNumberFormat="1" applyFont="1" applyBorder="1" applyAlignment="1">
      <alignment/>
    </xf>
    <xf numFmtId="183" fontId="9" fillId="0" borderId="32" xfId="42" applyNumberFormat="1" applyFont="1" applyBorder="1" applyAlignment="1">
      <alignment/>
    </xf>
    <xf numFmtId="183" fontId="9" fillId="0" borderId="29" xfId="42" applyNumberFormat="1" applyFont="1" applyBorder="1" applyAlignment="1">
      <alignment horizontal="left"/>
    </xf>
    <xf numFmtId="183" fontId="9" fillId="0" borderId="27" xfId="42" applyNumberFormat="1" applyFont="1" applyBorder="1" applyAlignment="1">
      <alignment/>
    </xf>
    <xf numFmtId="196" fontId="9" fillId="2" borderId="29" xfId="0" applyNumberFormat="1" applyFont="1" applyBorder="1" applyAlignment="1">
      <alignment/>
    </xf>
    <xf numFmtId="0" fontId="15" fillId="34" borderId="33" xfId="42" applyNumberFormat="1"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15" fillId="38" borderId="34" xfId="42" applyNumberFormat="1" applyFont="1" applyFill="1" applyBorder="1" applyAlignment="1">
      <alignment horizontal="center" vertical="center" wrapText="1"/>
    </xf>
    <xf numFmtId="0" fontId="15" fillId="38" borderId="35" xfId="42" applyNumberFormat="1" applyFont="1" applyFill="1" applyBorder="1" applyAlignment="1">
      <alignment horizontal="center" vertical="center" wrapText="1"/>
    </xf>
    <xf numFmtId="0" fontId="1" fillId="38" borderId="34" xfId="0" applyNumberFormat="1" applyFont="1" applyFill="1" applyBorder="1" applyAlignment="1">
      <alignment vertical="center" wrapText="1"/>
    </xf>
    <xf numFmtId="43" fontId="9" fillId="0" borderId="36" xfId="42" applyNumberFormat="1" applyFont="1" applyBorder="1" applyAlignment="1">
      <alignment horizontal="left"/>
    </xf>
    <xf numFmtId="43" fontId="9" fillId="0" borderId="37" xfId="42" applyNumberFormat="1" applyFont="1" applyBorder="1" applyAlignment="1">
      <alignment horizontal="left"/>
    </xf>
    <xf numFmtId="0" fontId="5" fillId="38" borderId="34" xfId="42" applyNumberFormat="1" applyFont="1" applyFill="1" applyBorder="1" applyAlignment="1">
      <alignment horizontal="center" vertical="center" wrapText="1"/>
    </xf>
    <xf numFmtId="0" fontId="0" fillId="36" borderId="0" xfId="0" applyFill="1" applyAlignment="1">
      <alignment horizontal="center"/>
    </xf>
    <xf numFmtId="0" fontId="10" fillId="36" borderId="0" xfId="0" applyFont="1" applyFill="1" applyAlignment="1">
      <alignment/>
    </xf>
    <xf numFmtId="0" fontId="16" fillId="2" borderId="21" xfId="0" applyFont="1" applyBorder="1" applyAlignment="1">
      <alignment horizontal="left"/>
    </xf>
    <xf numFmtId="172" fontId="7" fillId="36" borderId="0" xfId="0" applyNumberFormat="1" applyFont="1" applyFill="1" applyBorder="1" applyAlignment="1">
      <alignment/>
    </xf>
    <xf numFmtId="0" fontId="7" fillId="36" borderId="0" xfId="0" applyFont="1" applyFill="1" applyBorder="1" applyAlignment="1">
      <alignment horizontal="center"/>
    </xf>
    <xf numFmtId="2" fontId="7" fillId="36" borderId="0" xfId="0" applyNumberFormat="1" applyFont="1" applyFill="1" applyBorder="1" applyAlignment="1">
      <alignment/>
    </xf>
    <xf numFmtId="166" fontId="7" fillId="36" borderId="0" xfId="0" applyNumberFormat="1" applyFont="1" applyFill="1" applyBorder="1" applyAlignment="1">
      <alignment/>
    </xf>
    <xf numFmtId="164" fontId="7" fillId="36" borderId="0" xfId="0" applyNumberFormat="1" applyFont="1" applyFill="1" applyBorder="1" applyAlignment="1">
      <alignment/>
    </xf>
    <xf numFmtId="0" fontId="9" fillId="36" borderId="0" xfId="0" applyFont="1" applyFill="1" applyBorder="1" applyAlignment="1">
      <alignment/>
    </xf>
    <xf numFmtId="0" fontId="0" fillId="36" borderId="0" xfId="0" applyFill="1" applyBorder="1" applyAlignment="1">
      <alignment/>
    </xf>
    <xf numFmtId="0" fontId="5" fillId="2" borderId="10" xfId="0" applyFont="1" applyBorder="1" applyAlignment="1">
      <alignment/>
    </xf>
    <xf numFmtId="164" fontId="0" fillId="36" borderId="0" xfId="0" applyNumberFormat="1" applyFill="1" applyAlignment="1">
      <alignment/>
    </xf>
    <xf numFmtId="0" fontId="13" fillId="39" borderId="0" xfId="0" applyFont="1" applyFill="1" applyAlignment="1">
      <alignment/>
    </xf>
    <xf numFmtId="0" fontId="14" fillId="39" borderId="0" xfId="0" applyFont="1" applyFill="1" applyAlignment="1">
      <alignment/>
    </xf>
    <xf numFmtId="0" fontId="13" fillId="35" borderId="0" xfId="0" applyFont="1" applyFill="1" applyAlignment="1">
      <alignment horizontal="center"/>
    </xf>
    <xf numFmtId="0" fontId="18" fillId="2" borderId="0" xfId="0" applyFont="1" applyAlignment="1">
      <alignment horizontal="center"/>
    </xf>
    <xf numFmtId="0" fontId="0" fillId="2" borderId="0" xfId="0" applyFont="1" applyAlignment="1">
      <alignment horizontal="left"/>
    </xf>
    <xf numFmtId="0" fontId="0" fillId="2" borderId="0" xfId="0" applyFont="1" applyAlignment="1">
      <alignment horizontal="center" vertical="top" wrapText="1"/>
    </xf>
    <xf numFmtId="0" fontId="19" fillId="2" borderId="0" xfId="0" applyFont="1" applyAlignment="1">
      <alignment horizontal="center"/>
    </xf>
    <xf numFmtId="0" fontId="10" fillId="36" borderId="0" xfId="0" applyFont="1" applyFill="1" applyBorder="1" applyAlignment="1">
      <alignment/>
    </xf>
    <xf numFmtId="0" fontId="20" fillId="2" borderId="0" xfId="0" applyFont="1" applyAlignment="1">
      <alignment horizontal="left"/>
    </xf>
    <xf numFmtId="0" fontId="6" fillId="2" borderId="0" xfId="0" applyFont="1" applyAlignment="1">
      <alignment horizontal="left"/>
    </xf>
    <xf numFmtId="10" fontId="0" fillId="36" borderId="0" xfId="0" applyNumberFormat="1" applyFill="1" applyBorder="1" applyAlignment="1">
      <alignment horizontal="center"/>
    </xf>
    <xf numFmtId="0" fontId="11" fillId="36" borderId="38" xfId="0" applyFont="1" applyFill="1" applyBorder="1" applyAlignment="1">
      <alignment horizontal="center" vertical="center" wrapText="1"/>
    </xf>
    <xf numFmtId="0" fontId="11" fillId="2" borderId="38" xfId="0" applyFont="1" applyBorder="1" applyAlignment="1">
      <alignment horizontal="center" vertical="center" wrapText="1"/>
    </xf>
    <xf numFmtId="0" fontId="0" fillId="36" borderId="28" xfId="0" applyFill="1" applyBorder="1" applyAlignment="1">
      <alignment horizontal="left" vertical="center"/>
    </xf>
    <xf numFmtId="0" fontId="0" fillId="40" borderId="18" xfId="0" applyFill="1" applyBorder="1" applyAlignment="1">
      <alignment vertical="center"/>
    </xf>
    <xf numFmtId="164" fontId="0" fillId="2" borderId="39" xfId="0" applyNumberFormat="1" applyFont="1" applyBorder="1" applyAlignment="1">
      <alignment horizontal="center" vertical="center"/>
    </xf>
    <xf numFmtId="164" fontId="0" fillId="2" borderId="39" xfId="0" applyNumberFormat="1" applyBorder="1" applyAlignment="1">
      <alignment horizontal="center" vertical="center"/>
    </xf>
    <xf numFmtId="0" fontId="0" fillId="36" borderId="29" xfId="0" applyFill="1" applyBorder="1" applyAlignment="1">
      <alignment horizontal="left" vertical="center" wrapText="1"/>
    </xf>
    <xf numFmtId="0" fontId="0" fillId="40" borderId="12" xfId="0" applyFill="1" applyBorder="1" applyAlignment="1">
      <alignment vertical="center"/>
    </xf>
    <xf numFmtId="164" fontId="0" fillId="2" borderId="29" xfId="0" applyNumberFormat="1" applyFont="1" applyBorder="1" applyAlignment="1">
      <alignment horizontal="center" vertical="center"/>
    </xf>
    <xf numFmtId="164" fontId="0" fillId="2" borderId="29" xfId="0" applyNumberFormat="1" applyBorder="1" applyAlignment="1">
      <alignment horizontal="center" vertical="center"/>
    </xf>
    <xf numFmtId="0" fontId="10" fillId="40" borderId="12" xfId="0" applyFont="1" applyFill="1" applyBorder="1" applyAlignment="1">
      <alignment vertical="center"/>
    </xf>
    <xf numFmtId="0" fontId="0" fillId="36" borderId="29" xfId="0" applyFont="1" applyFill="1" applyBorder="1" applyAlignment="1">
      <alignment horizontal="left" vertical="center" wrapText="1"/>
    </xf>
    <xf numFmtId="166" fontId="7" fillId="0" borderId="0" xfId="0" applyNumberFormat="1" applyFont="1" applyFill="1" applyBorder="1" applyAlignment="1">
      <alignment/>
    </xf>
    <xf numFmtId="2" fontId="7" fillId="2" borderId="0" xfId="0" applyNumberFormat="1" applyFont="1" applyBorder="1" applyAlignment="1">
      <alignment/>
    </xf>
    <xf numFmtId="166" fontId="7" fillId="2" borderId="0" xfId="0" applyNumberFormat="1" applyFont="1" applyBorder="1" applyAlignment="1">
      <alignment/>
    </xf>
    <xf numFmtId="172" fontId="7" fillId="2" borderId="0" xfId="0" applyNumberFormat="1" applyFont="1" applyBorder="1" applyAlignment="1">
      <alignment/>
    </xf>
    <xf numFmtId="0" fontId="7" fillId="2" borderId="0" xfId="0" applyFont="1" applyBorder="1" applyAlignment="1">
      <alignment horizontal="center"/>
    </xf>
    <xf numFmtId="164" fontId="7" fillId="2" borderId="0" xfId="0" applyNumberFormat="1" applyFont="1" applyBorder="1" applyAlignment="1">
      <alignment/>
    </xf>
    <xf numFmtId="164" fontId="5" fillId="2" borderId="0" xfId="0" applyNumberFormat="1" applyFont="1" applyBorder="1" applyAlignment="1">
      <alignment/>
    </xf>
    <xf numFmtId="0" fontId="5" fillId="2" borderId="0" xfId="0" applyFont="1" applyAlignment="1">
      <alignment/>
    </xf>
    <xf numFmtId="49" fontId="9" fillId="0" borderId="0" xfId="0" applyNumberFormat="1" applyFont="1" applyFill="1" applyBorder="1" applyAlignment="1">
      <alignment/>
    </xf>
    <xf numFmtId="0" fontId="0" fillId="40" borderId="29" xfId="0" applyFill="1" applyBorder="1" applyAlignment="1">
      <alignment vertical="center"/>
    </xf>
    <xf numFmtId="164" fontId="0" fillId="36" borderId="28" xfId="0" applyNumberFormat="1" applyFill="1" applyBorder="1" applyAlignment="1">
      <alignment horizontal="center" vertical="center"/>
    </xf>
    <xf numFmtId="10" fontId="14" fillId="2" borderId="0" xfId="0" applyNumberFormat="1" applyFont="1" applyAlignment="1">
      <alignment/>
    </xf>
    <xf numFmtId="10" fontId="14" fillId="2" borderId="0" xfId="59" applyNumberFormat="1" applyFont="1" applyFill="1" applyAlignment="1">
      <alignment/>
    </xf>
    <xf numFmtId="3" fontId="0" fillId="36" borderId="0" xfId="0" applyNumberFormat="1" applyFill="1" applyAlignment="1">
      <alignment/>
    </xf>
    <xf numFmtId="0" fontId="0" fillId="36" borderId="0" xfId="0" applyFont="1" applyFill="1" applyAlignment="1">
      <alignment/>
    </xf>
    <xf numFmtId="0" fontId="0" fillId="36" borderId="0" xfId="0" applyFont="1" applyFill="1" applyBorder="1" applyAlignment="1">
      <alignment/>
    </xf>
    <xf numFmtId="3" fontId="0" fillId="36" borderId="0" xfId="0" applyNumberFormat="1" applyFill="1" applyBorder="1" applyAlignment="1">
      <alignment/>
    </xf>
    <xf numFmtId="164" fontId="0" fillId="36" borderId="0" xfId="0" applyNumberFormat="1" applyFill="1" applyBorder="1" applyAlignment="1">
      <alignment/>
    </xf>
    <xf numFmtId="164" fontId="0" fillId="36" borderId="0" xfId="0" applyNumberFormat="1" applyFont="1" applyFill="1" applyBorder="1" applyAlignment="1">
      <alignment/>
    </xf>
    <xf numFmtId="164" fontId="7" fillId="36" borderId="0" xfId="0" applyNumberFormat="1" applyFont="1" applyFill="1" applyBorder="1" applyAlignment="1">
      <alignment/>
    </xf>
    <xf numFmtId="0" fontId="13" fillId="36" borderId="0" xfId="0" applyFont="1" applyFill="1" applyAlignment="1">
      <alignment/>
    </xf>
    <xf numFmtId="0" fontId="14" fillId="36" borderId="0" xfId="0" applyFont="1" applyFill="1" applyAlignment="1">
      <alignment/>
    </xf>
    <xf numFmtId="165" fontId="7" fillId="36" borderId="0" xfId="0" applyNumberFormat="1" applyFont="1" applyFill="1" applyBorder="1" applyAlignment="1">
      <alignment/>
    </xf>
    <xf numFmtId="0" fontId="7" fillId="36" borderId="0" xfId="0" applyFont="1" applyFill="1" applyBorder="1" applyAlignment="1">
      <alignment/>
    </xf>
    <xf numFmtId="0" fontId="5" fillId="0" borderId="0" xfId="0" applyFont="1" applyFill="1" applyBorder="1" applyAlignment="1">
      <alignment/>
    </xf>
    <xf numFmtId="0" fontId="21" fillId="2" borderId="0" xfId="0" applyFont="1" applyBorder="1" applyAlignment="1">
      <alignment/>
    </xf>
    <xf numFmtId="164" fontId="7" fillId="0" borderId="0" xfId="0" applyNumberFormat="1" applyFont="1" applyFill="1" applyBorder="1" applyAlignment="1">
      <alignment/>
    </xf>
    <xf numFmtId="0" fontId="13" fillId="35" borderId="0" xfId="0" applyFont="1" applyFill="1" applyBorder="1" applyAlignment="1">
      <alignment/>
    </xf>
    <xf numFmtId="164" fontId="13" fillId="35" borderId="0" xfId="0" applyNumberFormat="1" applyFont="1" applyFill="1" applyBorder="1" applyAlignment="1">
      <alignment/>
    </xf>
    <xf numFmtId="10" fontId="13" fillId="35" borderId="0" xfId="59" applyNumberFormat="1" applyFont="1" applyFill="1" applyBorder="1" applyAlignment="1">
      <alignment/>
    </xf>
    <xf numFmtId="0" fontId="5" fillId="36" borderId="0" xfId="0" applyFont="1" applyFill="1" applyBorder="1" applyAlignment="1">
      <alignment horizontal="center"/>
    </xf>
    <xf numFmtId="0" fontId="7" fillId="39" borderId="0" xfId="0" applyFont="1" applyFill="1" applyBorder="1" applyAlignment="1">
      <alignment/>
    </xf>
    <xf numFmtId="0" fontId="24" fillId="2" borderId="0" xfId="0" applyFont="1" applyAlignment="1">
      <alignment/>
    </xf>
    <xf numFmtId="0" fontId="25" fillId="2" borderId="40" xfId="0" applyFont="1" applyBorder="1" applyAlignment="1">
      <alignment/>
    </xf>
    <xf numFmtId="0" fontId="7" fillId="2" borderId="40" xfId="0" applyFont="1" applyBorder="1" applyAlignment="1">
      <alignment/>
    </xf>
    <xf numFmtId="0" fontId="26" fillId="2" borderId="40" xfId="0" applyFont="1" applyBorder="1" applyAlignment="1">
      <alignment/>
    </xf>
    <xf numFmtId="0" fontId="27" fillId="2" borderId="40" xfId="0" applyFont="1" applyBorder="1" applyAlignment="1">
      <alignment/>
    </xf>
    <xf numFmtId="0" fontId="28" fillId="2" borderId="40" xfId="0" applyFont="1" applyBorder="1" applyAlignment="1">
      <alignment/>
    </xf>
    <xf numFmtId="0" fontId="29" fillId="2" borderId="40" xfId="0" applyFont="1" applyBorder="1" applyAlignment="1">
      <alignment/>
    </xf>
    <xf numFmtId="0" fontId="7" fillId="2" borderId="16" xfId="0" applyFont="1" applyBorder="1" applyAlignment="1">
      <alignment/>
    </xf>
    <xf numFmtId="0" fontId="30" fillId="2" borderId="16" xfId="0" applyFont="1" applyBorder="1" applyAlignment="1">
      <alignment horizontal="left"/>
    </xf>
    <xf numFmtId="0" fontId="8" fillId="2" borderId="16" xfId="0" applyFont="1" applyBorder="1" applyAlignment="1">
      <alignment horizontal="center"/>
    </xf>
    <xf numFmtId="0" fontId="31" fillId="2" borderId="16" xfId="0" applyFont="1" applyBorder="1" applyAlignment="1">
      <alignment horizontal="left"/>
    </xf>
    <xf numFmtId="0" fontId="32" fillId="2" borderId="16" xfId="0" applyFont="1" applyBorder="1" applyAlignment="1">
      <alignment horizontal="left"/>
    </xf>
    <xf numFmtId="0" fontId="33" fillId="2" borderId="16" xfId="0" applyFont="1" applyBorder="1" applyAlignment="1">
      <alignment horizontal="left"/>
    </xf>
    <xf numFmtId="0" fontId="5" fillId="2" borderId="16" xfId="0" applyFont="1" applyBorder="1" applyAlignment="1">
      <alignment horizontal="center"/>
    </xf>
    <xf numFmtId="0" fontId="30" fillId="2" borderId="0" xfId="0" applyFont="1" applyBorder="1" applyAlignment="1">
      <alignment horizontal="left"/>
    </xf>
    <xf numFmtId="0" fontId="8" fillId="2" borderId="0" xfId="0" applyFont="1" applyBorder="1" applyAlignment="1">
      <alignment horizontal="center"/>
    </xf>
    <xf numFmtId="0" fontId="31" fillId="2" borderId="0" xfId="0" applyFont="1" applyBorder="1" applyAlignment="1">
      <alignment horizontal="left"/>
    </xf>
    <xf numFmtId="0" fontId="32" fillId="2" borderId="0" xfId="0" applyFont="1" applyBorder="1" applyAlignment="1">
      <alignment horizontal="left"/>
    </xf>
    <xf numFmtId="0" fontId="33" fillId="2" borderId="0" xfId="0" applyFont="1" applyBorder="1" applyAlignment="1">
      <alignment horizontal="left"/>
    </xf>
    <xf numFmtId="0" fontId="5" fillId="2" borderId="0" xfId="0" applyFont="1" applyBorder="1" applyAlignment="1">
      <alignment horizontal="center"/>
    </xf>
    <xf numFmtId="164" fontId="7" fillId="2" borderId="0" xfId="0" applyNumberFormat="1" applyFont="1" applyAlignment="1">
      <alignment/>
    </xf>
    <xf numFmtId="165" fontId="7" fillId="2" borderId="0" xfId="0" applyNumberFormat="1" applyFont="1" applyAlignment="1">
      <alignment/>
    </xf>
    <xf numFmtId="0" fontId="7" fillId="2" borderId="0" xfId="0" applyFont="1" applyAlignment="1">
      <alignment horizontal="center"/>
    </xf>
    <xf numFmtId="2" fontId="7" fillId="2" borderId="0" xfId="0" applyNumberFormat="1" applyFont="1" applyAlignment="1">
      <alignment/>
    </xf>
    <xf numFmtId="166" fontId="7" fillId="2" borderId="0" xfId="0" applyNumberFormat="1" applyFont="1" applyAlignment="1">
      <alignment/>
    </xf>
    <xf numFmtId="164" fontId="7" fillId="0" borderId="0" xfId="0" applyNumberFormat="1" applyFont="1" applyFill="1" applyAlignment="1">
      <alignment/>
    </xf>
    <xf numFmtId="2" fontId="7" fillId="0" borderId="0" xfId="0" applyNumberFormat="1" applyFont="1" applyFill="1" applyAlignment="1">
      <alignment/>
    </xf>
    <xf numFmtId="166" fontId="7" fillId="0" borderId="0" xfId="0" applyNumberFormat="1" applyFont="1" applyFill="1" applyAlignment="1">
      <alignment/>
    </xf>
    <xf numFmtId="164" fontId="24" fillId="2" borderId="0" xfId="0" applyNumberFormat="1" applyFont="1" applyAlignment="1">
      <alignment/>
    </xf>
    <xf numFmtId="0" fontId="21" fillId="2" borderId="0" xfId="0" applyFont="1" applyAlignment="1">
      <alignment/>
    </xf>
    <xf numFmtId="164" fontId="5" fillId="2" borderId="0" xfId="0" applyNumberFormat="1" applyFont="1" applyAlignment="1">
      <alignment/>
    </xf>
    <xf numFmtId="2" fontId="22" fillId="0" borderId="0" xfId="0" applyNumberFormat="1" applyFont="1" applyFill="1" applyAlignment="1">
      <alignment/>
    </xf>
    <xf numFmtId="164" fontId="23" fillId="0" borderId="0" xfId="0" applyNumberFormat="1" applyFont="1" applyFill="1" applyAlignment="1">
      <alignment/>
    </xf>
    <xf numFmtId="0" fontId="5" fillId="2" borderId="40" xfId="0" applyFont="1" applyBorder="1" applyAlignment="1">
      <alignment horizontal="center"/>
    </xf>
    <xf numFmtId="0" fontId="5" fillId="36" borderId="40" xfId="0" applyFont="1" applyFill="1" applyBorder="1" applyAlignment="1">
      <alignment horizontal="center"/>
    </xf>
    <xf numFmtId="0" fontId="5" fillId="36" borderId="16" xfId="0" applyFont="1" applyFill="1" applyBorder="1" applyAlignment="1">
      <alignment horizontal="center"/>
    </xf>
    <xf numFmtId="4" fontId="7" fillId="0" borderId="0" xfId="0" applyNumberFormat="1" applyFont="1" applyFill="1" applyAlignment="1">
      <alignment/>
    </xf>
    <xf numFmtId="3" fontId="7" fillId="0" borderId="0" xfId="0" applyNumberFormat="1" applyFont="1" applyFill="1" applyAlignment="1">
      <alignment horizontal="center" vertical="center"/>
    </xf>
    <xf numFmtId="0" fontId="30" fillId="35" borderId="0" xfId="0" applyFont="1" applyFill="1" applyBorder="1" applyAlignment="1">
      <alignment horizontal="left"/>
    </xf>
    <xf numFmtId="0" fontId="8" fillId="35" borderId="0" xfId="0" applyFont="1" applyFill="1" applyBorder="1" applyAlignment="1">
      <alignment horizontal="center"/>
    </xf>
    <xf numFmtId="0" fontId="7" fillId="35" borderId="0" xfId="0" applyFont="1" applyFill="1" applyBorder="1" applyAlignment="1">
      <alignment/>
    </xf>
    <xf numFmtId="0" fontId="31" fillId="35" borderId="0" xfId="0" applyFont="1" applyFill="1" applyBorder="1" applyAlignment="1">
      <alignment horizontal="left"/>
    </xf>
    <xf numFmtId="0" fontId="32" fillId="35" borderId="0" xfId="0" applyFont="1" applyFill="1" applyBorder="1" applyAlignment="1">
      <alignment horizontal="left"/>
    </xf>
    <xf numFmtId="0" fontId="33" fillId="35" borderId="0" xfId="0" applyFont="1" applyFill="1" applyBorder="1" applyAlignment="1">
      <alignment horizontal="left"/>
    </xf>
    <xf numFmtId="0" fontId="5" fillId="35" borderId="0" xfId="0" applyFont="1" applyFill="1" applyBorder="1" applyAlignment="1">
      <alignment horizontal="center"/>
    </xf>
    <xf numFmtId="0" fontId="34" fillId="35" borderId="0" xfId="0" applyFont="1" applyFill="1" applyBorder="1" applyAlignment="1">
      <alignment horizontal="center"/>
    </xf>
    <xf numFmtId="0" fontId="7" fillId="35" borderId="15" xfId="0" applyFont="1" applyFill="1" applyBorder="1" applyAlignment="1">
      <alignment/>
    </xf>
    <xf numFmtId="2" fontId="7" fillId="35" borderId="15" xfId="0" applyNumberFormat="1" applyFont="1" applyFill="1" applyBorder="1" applyAlignment="1">
      <alignment/>
    </xf>
    <xf numFmtId="166" fontId="7" fillId="35" borderId="15" xfId="0" applyNumberFormat="1" applyFont="1" applyFill="1" applyBorder="1" applyAlignment="1">
      <alignment/>
    </xf>
    <xf numFmtId="0" fontId="7" fillId="39" borderId="15" xfId="0" applyFont="1" applyFill="1" applyBorder="1" applyAlignment="1">
      <alignment/>
    </xf>
    <xf numFmtId="2" fontId="7" fillId="39" borderId="15" xfId="0" applyNumberFormat="1" applyFont="1" applyFill="1" applyBorder="1" applyAlignment="1">
      <alignment/>
    </xf>
    <xf numFmtId="166" fontId="7" fillId="39" borderId="15" xfId="0" applyNumberFormat="1" applyFont="1" applyFill="1" applyBorder="1" applyAlignment="1">
      <alignment/>
    </xf>
    <xf numFmtId="164" fontId="7" fillId="39" borderId="15" xfId="0" applyNumberFormat="1" applyFont="1" applyFill="1" applyBorder="1" applyAlignment="1">
      <alignment/>
    </xf>
    <xf numFmtId="0" fontId="7" fillId="39" borderId="15" xfId="0" applyFont="1" applyFill="1" applyBorder="1" applyAlignment="1">
      <alignment horizontal="center"/>
    </xf>
    <xf numFmtId="0" fontId="0" fillId="39" borderId="0" xfId="0" applyFill="1" applyBorder="1" applyAlignment="1">
      <alignment/>
    </xf>
    <xf numFmtId="164" fontId="5" fillId="39" borderId="15" xfId="0" applyNumberFormat="1" applyFont="1" applyFill="1" applyBorder="1" applyAlignment="1">
      <alignment/>
    </xf>
    <xf numFmtId="0" fontId="21" fillId="35" borderId="16" xfId="0" applyFont="1" applyFill="1" applyBorder="1" applyAlignment="1">
      <alignment/>
    </xf>
    <xf numFmtId="0" fontId="7" fillId="35" borderId="16" xfId="0" applyFont="1" applyFill="1" applyBorder="1" applyAlignment="1">
      <alignment/>
    </xf>
    <xf numFmtId="2" fontId="7" fillId="35" borderId="16" xfId="0" applyNumberFormat="1" applyFont="1" applyFill="1" applyBorder="1" applyAlignment="1">
      <alignment/>
    </xf>
    <xf numFmtId="166" fontId="7" fillId="35" borderId="16" xfId="0" applyNumberFormat="1" applyFont="1" applyFill="1" applyBorder="1" applyAlignment="1">
      <alignment/>
    </xf>
    <xf numFmtId="164" fontId="5" fillId="35" borderId="15" xfId="0" applyNumberFormat="1" applyFont="1" applyFill="1" applyBorder="1" applyAlignment="1">
      <alignment/>
    </xf>
    <xf numFmtId="164" fontId="5" fillId="35" borderId="16" xfId="0" applyNumberFormat="1" applyFont="1" applyFill="1" applyBorder="1" applyAlignment="1">
      <alignment/>
    </xf>
    <xf numFmtId="0" fontId="5" fillId="35" borderId="16" xfId="0" applyFont="1" applyFill="1" applyBorder="1" applyAlignment="1">
      <alignment horizontal="center"/>
    </xf>
    <xf numFmtId="2" fontId="5" fillId="35" borderId="16" xfId="0" applyNumberFormat="1" applyFont="1" applyFill="1" applyBorder="1" applyAlignment="1">
      <alignment/>
    </xf>
    <xf numFmtId="0" fontId="0" fillId="39" borderId="0" xfId="0" applyFill="1" applyAlignment="1">
      <alignment/>
    </xf>
    <xf numFmtId="2" fontId="22" fillId="39" borderId="15" xfId="0" applyNumberFormat="1" applyFont="1" applyFill="1" applyBorder="1" applyAlignment="1">
      <alignment/>
    </xf>
    <xf numFmtId="164" fontId="23" fillId="39" borderId="15" xfId="0" applyNumberFormat="1" applyFont="1" applyFill="1" applyBorder="1" applyAlignment="1">
      <alignment/>
    </xf>
    <xf numFmtId="0" fontId="0" fillId="35" borderId="0" xfId="0" applyFill="1" applyAlignment="1">
      <alignment/>
    </xf>
    <xf numFmtId="0" fontId="21" fillId="35" borderId="15" xfId="0" applyFont="1" applyFill="1" applyBorder="1" applyAlignment="1">
      <alignment/>
    </xf>
    <xf numFmtId="0" fontId="21" fillId="36" borderId="0" xfId="0" applyFont="1" applyFill="1" applyBorder="1" applyAlignment="1">
      <alignment/>
    </xf>
    <xf numFmtId="0" fontId="24" fillId="36" borderId="0" xfId="0" applyFont="1" applyFill="1" applyBorder="1" applyAlignment="1">
      <alignment/>
    </xf>
    <xf numFmtId="0" fontId="5" fillId="35" borderId="15" xfId="0" applyFont="1" applyFill="1" applyBorder="1" applyAlignment="1">
      <alignment horizontal="center"/>
    </xf>
    <xf numFmtId="2" fontId="5" fillId="35" borderId="15" xfId="0" applyNumberFormat="1" applyFont="1" applyFill="1" applyBorder="1" applyAlignment="1">
      <alignment/>
    </xf>
    <xf numFmtId="164" fontId="5" fillId="36" borderId="0" xfId="0" applyNumberFormat="1" applyFont="1" applyFill="1" applyBorder="1" applyAlignment="1">
      <alignment/>
    </xf>
    <xf numFmtId="166" fontId="5" fillId="36" borderId="0" xfId="0" applyNumberFormat="1" applyFont="1" applyFill="1" applyBorder="1" applyAlignment="1">
      <alignment/>
    </xf>
    <xf numFmtId="172" fontId="5" fillId="36" borderId="0" xfId="0" applyNumberFormat="1" applyFont="1" applyFill="1" applyBorder="1" applyAlignment="1">
      <alignment/>
    </xf>
    <xf numFmtId="165" fontId="5" fillId="36" borderId="0" xfId="0" applyNumberFormat="1" applyFont="1" applyFill="1" applyBorder="1" applyAlignment="1">
      <alignment/>
    </xf>
    <xf numFmtId="0" fontId="5" fillId="36" borderId="0" xfId="0" applyFont="1" applyFill="1" applyBorder="1" applyAlignment="1">
      <alignment/>
    </xf>
    <xf numFmtId="166" fontId="5" fillId="39" borderId="15" xfId="0" applyNumberFormat="1" applyFont="1" applyFill="1" applyBorder="1" applyAlignment="1">
      <alignment/>
    </xf>
    <xf numFmtId="172" fontId="5" fillId="39" borderId="15" xfId="0" applyNumberFormat="1" applyFont="1" applyFill="1" applyBorder="1" applyAlignment="1">
      <alignment/>
    </xf>
    <xf numFmtId="165" fontId="5" fillId="39" borderId="15" xfId="0" applyNumberFormat="1" applyFont="1" applyFill="1" applyBorder="1" applyAlignment="1">
      <alignment/>
    </xf>
    <xf numFmtId="0" fontId="14" fillId="39" borderId="0" xfId="0" applyFont="1" applyFill="1" applyAlignment="1">
      <alignment/>
    </xf>
    <xf numFmtId="4" fontId="7" fillId="39" borderId="15" xfId="0" applyNumberFormat="1" applyFont="1" applyFill="1" applyBorder="1" applyAlignment="1">
      <alignment/>
    </xf>
    <xf numFmtId="4" fontId="13" fillId="35" borderId="0" xfId="0" applyNumberFormat="1" applyFont="1" applyFill="1" applyBorder="1" applyAlignment="1">
      <alignment horizontal="right"/>
    </xf>
    <xf numFmtId="10" fontId="13" fillId="35" borderId="0" xfId="59" applyNumberFormat="1" applyFont="1" applyFill="1" applyAlignment="1">
      <alignment/>
    </xf>
    <xf numFmtId="164" fontId="7" fillId="36" borderId="0" xfId="0" applyNumberFormat="1" applyFont="1" applyFill="1" applyAlignment="1">
      <alignment/>
    </xf>
    <xf numFmtId="4" fontId="7" fillId="36" borderId="0" xfId="0" applyNumberFormat="1" applyFont="1" applyFill="1" applyAlignment="1">
      <alignment/>
    </xf>
    <xf numFmtId="164" fontId="23" fillId="36" borderId="0" xfId="0" applyNumberFormat="1" applyFont="1" applyFill="1" applyBorder="1" applyAlignment="1">
      <alignment/>
    </xf>
    <xf numFmtId="0" fontId="7" fillId="36" borderId="0" xfId="0" applyFont="1" applyFill="1" applyAlignment="1">
      <alignment horizontal="center"/>
    </xf>
    <xf numFmtId="2" fontId="7" fillId="36" borderId="0" xfId="0" applyNumberFormat="1" applyFont="1" applyFill="1" applyAlignment="1">
      <alignment/>
    </xf>
    <xf numFmtId="166" fontId="7" fillId="36" borderId="0" xfId="0" applyNumberFormat="1" applyFont="1" applyFill="1" applyAlignment="1">
      <alignment/>
    </xf>
    <xf numFmtId="0" fontId="7" fillId="36" borderId="16" xfId="0" applyFont="1" applyFill="1" applyBorder="1" applyAlignment="1">
      <alignment/>
    </xf>
    <xf numFmtId="164" fontId="7" fillId="36" borderId="16" xfId="0" applyNumberFormat="1" applyFont="1" applyFill="1" applyBorder="1" applyAlignment="1">
      <alignment/>
    </xf>
    <xf numFmtId="2" fontId="7" fillId="36" borderId="16" xfId="0" applyNumberFormat="1" applyFont="1" applyFill="1" applyBorder="1" applyAlignment="1">
      <alignment/>
    </xf>
    <xf numFmtId="0" fontId="7" fillId="36" borderId="0" xfId="0" applyFont="1" applyFill="1" applyAlignment="1">
      <alignment/>
    </xf>
    <xf numFmtId="0" fontId="21" fillId="35" borderId="0" xfId="0" applyFont="1" applyFill="1" applyBorder="1" applyAlignment="1">
      <alignment/>
    </xf>
    <xf numFmtId="4" fontId="5" fillId="35" borderId="15" xfId="0" applyNumberFormat="1" applyFont="1" applyFill="1" applyBorder="1" applyAlignment="1">
      <alignment/>
    </xf>
    <xf numFmtId="0" fontId="15" fillId="36" borderId="0" xfId="0" applyFont="1" applyFill="1" applyAlignment="1">
      <alignment/>
    </xf>
    <xf numFmtId="0" fontId="9" fillId="36" borderId="0" xfId="0" applyFont="1" applyFill="1" applyAlignment="1">
      <alignment/>
    </xf>
    <xf numFmtId="164" fontId="15" fillId="36" borderId="0" xfId="0" applyNumberFormat="1" applyFont="1" applyFill="1" applyAlignment="1">
      <alignment/>
    </xf>
    <xf numFmtId="0" fontId="9" fillId="36" borderId="15" xfId="0" applyFont="1" applyFill="1" applyBorder="1" applyAlignment="1">
      <alignment/>
    </xf>
    <xf numFmtId="4" fontId="9" fillId="36" borderId="0" xfId="0" applyNumberFormat="1" applyFont="1" applyFill="1" applyAlignment="1">
      <alignment/>
    </xf>
    <xf numFmtId="0" fontId="0" fillId="2" borderId="0" xfId="0" applyFont="1" applyAlignment="1">
      <alignment horizontal="center"/>
    </xf>
    <xf numFmtId="0" fontId="15" fillId="2" borderId="0" xfId="0" applyFont="1" applyBorder="1" applyAlignment="1">
      <alignment/>
    </xf>
    <xf numFmtId="0" fontId="15" fillId="2" borderId="0" xfId="0" applyFont="1" applyBorder="1" applyAlignment="1">
      <alignment horizontal="center"/>
    </xf>
    <xf numFmtId="0" fontId="36" fillId="2" borderId="0" xfId="0" applyFont="1" applyBorder="1" applyAlignment="1">
      <alignment/>
    </xf>
    <xf numFmtId="0" fontId="9" fillId="41" borderId="0" xfId="0" applyFont="1" applyFill="1" applyAlignment="1">
      <alignment/>
    </xf>
    <xf numFmtId="0" fontId="36" fillId="41" borderId="0" xfId="0" applyFont="1" applyFill="1" applyAlignment="1">
      <alignment/>
    </xf>
    <xf numFmtId="0" fontId="36" fillId="36" borderId="0" xfId="0" applyFont="1" applyFill="1" applyAlignment="1">
      <alignment/>
    </xf>
    <xf numFmtId="164" fontId="36" fillId="41" borderId="0" xfId="0" applyNumberFormat="1" applyFont="1" applyFill="1" applyAlignment="1">
      <alignment/>
    </xf>
    <xf numFmtId="164" fontId="36" fillId="36" borderId="0" xfId="0" applyNumberFormat="1" applyFont="1" applyFill="1" applyAlignment="1">
      <alignment/>
    </xf>
    <xf numFmtId="181" fontId="0" fillId="2" borderId="0" xfId="42" applyNumberFormat="1" applyFont="1" applyFill="1" applyAlignment="1">
      <alignment/>
    </xf>
    <xf numFmtId="0" fontId="6" fillId="35" borderId="15" xfId="0" applyFont="1" applyFill="1" applyBorder="1" applyAlignment="1">
      <alignment/>
    </xf>
    <xf numFmtId="0" fontId="0" fillId="35" borderId="15" xfId="0" applyFill="1" applyBorder="1" applyAlignment="1">
      <alignment/>
    </xf>
    <xf numFmtId="164" fontId="15" fillId="35" borderId="15" xfId="0" applyNumberFormat="1" applyFont="1" applyFill="1" applyBorder="1" applyAlignment="1">
      <alignment/>
    </xf>
    <xf numFmtId="0" fontId="6" fillId="35" borderId="0" xfId="0" applyFont="1" applyFill="1" applyBorder="1" applyAlignment="1">
      <alignment/>
    </xf>
    <xf numFmtId="0" fontId="0" fillId="35" borderId="0" xfId="0" applyFill="1" applyBorder="1" applyAlignment="1">
      <alignment/>
    </xf>
    <xf numFmtId="0" fontId="6" fillId="36" borderId="0" xfId="0" applyFont="1" applyFill="1" applyBorder="1" applyAlignment="1">
      <alignment/>
    </xf>
    <xf numFmtId="164" fontId="15" fillId="36" borderId="0" xfId="0" applyNumberFormat="1" applyFont="1" applyFill="1" applyBorder="1" applyAlignment="1">
      <alignment/>
    </xf>
    <xf numFmtId="0" fontId="15" fillId="36" borderId="0" xfId="0" applyFont="1" applyFill="1" applyBorder="1" applyAlignment="1">
      <alignment/>
    </xf>
    <xf numFmtId="0" fontId="15" fillId="39" borderId="15" xfId="0" applyFont="1" applyFill="1" applyBorder="1" applyAlignment="1">
      <alignment/>
    </xf>
    <xf numFmtId="0" fontId="0" fillId="39" borderId="15" xfId="0" applyFill="1" applyBorder="1" applyAlignment="1">
      <alignment/>
    </xf>
    <xf numFmtId="0" fontId="13" fillId="2" borderId="0" xfId="0" applyFont="1" applyAlignment="1">
      <alignment/>
    </xf>
    <xf numFmtId="0" fontId="6" fillId="39" borderId="0" xfId="0" applyFont="1" applyFill="1" applyAlignment="1">
      <alignment/>
    </xf>
    <xf numFmtId="0" fontId="6" fillId="39" borderId="0" xfId="0" applyFont="1" applyFill="1" applyAlignment="1">
      <alignment horizontal="left"/>
    </xf>
    <xf numFmtId="0" fontId="6" fillId="35" borderId="0" xfId="0" applyFont="1" applyFill="1" applyAlignment="1">
      <alignment/>
    </xf>
    <xf numFmtId="43" fontId="6" fillId="35" borderId="0" xfId="42" applyNumberFormat="1" applyFont="1" applyFill="1" applyAlignment="1">
      <alignment/>
    </xf>
    <xf numFmtId="0" fontId="6" fillId="35" borderId="0" xfId="0" applyFont="1" applyFill="1" applyAlignment="1">
      <alignment horizontal="left"/>
    </xf>
    <xf numFmtId="43" fontId="0" fillId="35" borderId="0" xfId="42" applyFont="1" applyFill="1" applyAlignment="1">
      <alignment/>
    </xf>
    <xf numFmtId="0" fontId="0" fillId="35" borderId="0" xfId="0" applyFont="1" applyFill="1" applyBorder="1" applyAlignment="1">
      <alignment/>
    </xf>
    <xf numFmtId="0" fontId="6" fillId="39" borderId="0" xfId="0" applyFont="1" applyFill="1" applyBorder="1" applyAlignment="1">
      <alignment/>
    </xf>
    <xf numFmtId="0" fontId="0" fillId="39" borderId="0" xfId="0" applyFont="1" applyFill="1" applyBorder="1" applyAlignment="1">
      <alignment/>
    </xf>
    <xf numFmtId="43" fontId="6" fillId="39" borderId="0" xfId="42" applyFont="1" applyFill="1" applyBorder="1" applyAlignment="1">
      <alignment/>
    </xf>
    <xf numFmtId="0" fontId="0" fillId="39" borderId="0" xfId="0" applyFont="1" applyFill="1" applyAlignment="1">
      <alignment horizontal="left"/>
    </xf>
    <xf numFmtId="0" fontId="0" fillId="35" borderId="0" xfId="0" applyFont="1" applyFill="1" applyAlignment="1">
      <alignment horizontal="left"/>
    </xf>
    <xf numFmtId="4" fontId="0" fillId="35" borderId="0" xfId="0" applyNumberFormat="1" applyFont="1" applyFill="1" applyAlignment="1">
      <alignment horizontal="right"/>
    </xf>
    <xf numFmtId="0" fontId="6" fillId="39" borderId="0" xfId="0" applyFont="1" applyFill="1" applyAlignment="1">
      <alignment horizontal="center"/>
    </xf>
    <xf numFmtId="3" fontId="6" fillId="39" borderId="0" xfId="0" applyNumberFormat="1" applyFont="1" applyFill="1" applyAlignment="1">
      <alignment horizontal="right"/>
    </xf>
    <xf numFmtId="9" fontId="0" fillId="39" borderId="0" xfId="59" applyFont="1" applyFill="1" applyAlignment="1">
      <alignment/>
    </xf>
    <xf numFmtId="3" fontId="0" fillId="39" borderId="0" xfId="0" applyNumberFormat="1" applyFont="1" applyFill="1" applyAlignment="1">
      <alignment horizontal="right"/>
    </xf>
    <xf numFmtId="9" fontId="0" fillId="39" borderId="0" xfId="59" applyFont="1" applyFill="1" applyBorder="1" applyAlignment="1">
      <alignment/>
    </xf>
    <xf numFmtId="0" fontId="0" fillId="38" borderId="40" xfId="0" applyFill="1" applyBorder="1" applyAlignment="1">
      <alignment/>
    </xf>
    <xf numFmtId="0" fontId="6" fillId="38" borderId="16" xfId="0" applyFont="1" applyFill="1" applyBorder="1" applyAlignment="1">
      <alignment/>
    </xf>
    <xf numFmtId="0" fontId="0" fillId="38" borderId="16" xfId="0" applyFill="1" applyBorder="1" applyAlignment="1">
      <alignment/>
    </xf>
    <xf numFmtId="43" fontId="6" fillId="38" borderId="16" xfId="0" applyNumberFormat="1" applyFont="1" applyFill="1" applyBorder="1" applyAlignment="1">
      <alignment/>
    </xf>
    <xf numFmtId="0" fontId="6" fillId="38" borderId="16" xfId="0" applyFont="1" applyFill="1" applyBorder="1" applyAlignment="1">
      <alignment horizontal="left"/>
    </xf>
    <xf numFmtId="183" fontId="15" fillId="37" borderId="41" xfId="42" applyNumberFormat="1" applyFont="1" applyFill="1" applyBorder="1" applyAlignment="1">
      <alignment/>
    </xf>
    <xf numFmtId="164" fontId="0" fillId="42" borderId="29" xfId="0" applyNumberFormat="1" applyFill="1" applyBorder="1" applyAlignment="1">
      <alignment/>
    </xf>
    <xf numFmtId="7" fontId="14" fillId="0" borderId="0" xfId="44" applyNumberFormat="1" applyFont="1" applyFill="1" applyBorder="1" applyAlignment="1">
      <alignment horizontal="right"/>
    </xf>
    <xf numFmtId="0" fontId="13" fillId="36" borderId="0" xfId="0" applyFont="1" applyFill="1" applyBorder="1" applyAlignment="1">
      <alignment/>
    </xf>
    <xf numFmtId="164" fontId="13" fillId="36" borderId="0" xfId="0" applyNumberFormat="1" applyFont="1" applyFill="1" applyBorder="1" applyAlignment="1">
      <alignment/>
    </xf>
    <xf numFmtId="10" fontId="13" fillId="36" borderId="0" xfId="59" applyNumberFormat="1" applyFont="1" applyFill="1" applyBorder="1" applyAlignment="1">
      <alignment/>
    </xf>
    <xf numFmtId="183" fontId="15" fillId="37" borderId="42" xfId="42" applyNumberFormat="1" applyFont="1" applyFill="1" applyBorder="1" applyAlignment="1">
      <alignment/>
    </xf>
    <xf numFmtId="43" fontId="0" fillId="42" borderId="29" xfId="0" applyNumberFormat="1" applyFont="1" applyFill="1" applyBorder="1" applyAlignment="1">
      <alignment/>
    </xf>
    <xf numFmtId="164" fontId="15" fillId="39" borderId="15" xfId="0" applyNumberFormat="1" applyFont="1" applyFill="1" applyBorder="1" applyAlignment="1">
      <alignment/>
    </xf>
    <xf numFmtId="0" fontId="35" fillId="36" borderId="0" xfId="0" applyFont="1" applyFill="1" applyBorder="1" applyAlignment="1">
      <alignment horizontal="center"/>
    </xf>
    <xf numFmtId="0" fontId="0" fillId="36" borderId="16" xfId="0" applyFill="1" applyBorder="1" applyAlignment="1">
      <alignment/>
    </xf>
    <xf numFmtId="0" fontId="7" fillId="36" borderId="15" xfId="0" applyFont="1" applyFill="1" applyBorder="1" applyAlignment="1">
      <alignment/>
    </xf>
    <xf numFmtId="0" fontId="7" fillId="2" borderId="0" xfId="0" applyFont="1" applyAlignment="1" quotePrefix="1">
      <alignment/>
    </xf>
    <xf numFmtId="164" fontId="7" fillId="0" borderId="0" xfId="0" applyNumberFormat="1" applyFont="1" applyFill="1" applyAlignment="1">
      <alignment horizontal="center" vertical="center"/>
    </xf>
    <xf numFmtId="0" fontId="7" fillId="0" borderId="0" xfId="0" applyFont="1" applyFill="1" applyAlignment="1">
      <alignment horizontal="center"/>
    </xf>
    <xf numFmtId="164" fontId="7" fillId="36" borderId="0" xfId="0" applyNumberFormat="1" applyFont="1" applyFill="1" applyAlignment="1">
      <alignment horizontal="center"/>
    </xf>
    <xf numFmtId="2" fontId="0" fillId="36" borderId="0" xfId="0" applyNumberFormat="1" applyFont="1" applyFill="1" applyBorder="1" applyAlignment="1">
      <alignment/>
    </xf>
    <xf numFmtId="0" fontId="13" fillId="36" borderId="0" xfId="0" applyFont="1" applyFill="1" applyAlignment="1">
      <alignment horizontal="center"/>
    </xf>
    <xf numFmtId="0" fontId="14" fillId="36" borderId="0" xfId="0" applyFont="1" applyFill="1" applyAlignment="1">
      <alignment/>
    </xf>
    <xf numFmtId="4" fontId="14" fillId="36" borderId="0" xfId="0" applyNumberFormat="1" applyFont="1" applyFill="1" applyBorder="1" applyAlignment="1">
      <alignment horizontal="right"/>
    </xf>
    <xf numFmtId="164" fontId="14" fillId="36" borderId="0" xfId="0" applyNumberFormat="1" applyFont="1" applyFill="1" applyAlignment="1">
      <alignment/>
    </xf>
    <xf numFmtId="10" fontId="14" fillId="36" borderId="0" xfId="0" applyNumberFormat="1" applyFont="1" applyFill="1" applyAlignment="1">
      <alignment/>
    </xf>
    <xf numFmtId="3" fontId="0" fillId="3" borderId="0" xfId="0" applyNumberFormat="1" applyFill="1" applyAlignment="1" applyProtection="1">
      <alignment/>
      <protection locked="0"/>
    </xf>
    <xf numFmtId="4" fontId="0" fillId="3" borderId="0" xfId="0" applyNumberFormat="1" applyFill="1" applyAlignment="1" applyProtection="1">
      <alignment/>
      <protection locked="0"/>
    </xf>
    <xf numFmtId="19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10" fontId="0" fillId="3" borderId="0" xfId="0" applyNumberFormat="1" applyFill="1" applyBorder="1" applyAlignment="1" applyProtection="1">
      <alignment horizontal="center"/>
      <protection locked="0"/>
    </xf>
    <xf numFmtId="166" fontId="0" fillId="7" borderId="39" xfId="0" applyNumberFormat="1" applyFill="1" applyBorder="1" applyAlignment="1" applyProtection="1">
      <alignment horizontal="center" vertical="center"/>
      <protection locked="0"/>
    </xf>
    <xf numFmtId="10" fontId="0" fillId="7" borderId="39" xfId="0" applyNumberFormat="1" applyFill="1" applyBorder="1" applyAlignment="1" applyProtection="1">
      <alignment horizontal="center" vertical="center"/>
      <protection locked="0"/>
    </xf>
    <xf numFmtId="166" fontId="0" fillId="7" borderId="29" xfId="0" applyNumberFormat="1" applyFill="1" applyBorder="1" applyAlignment="1" applyProtection="1">
      <alignment horizontal="center" vertical="center"/>
      <protection locked="0"/>
    </xf>
    <xf numFmtId="10" fontId="0" fillId="7" borderId="29" xfId="0" applyNumberFormat="1" applyFill="1" applyBorder="1" applyAlignment="1" applyProtection="1">
      <alignment horizontal="center" vertical="center"/>
      <protection locked="0"/>
    </xf>
    <xf numFmtId="188" fontId="0" fillId="7" borderId="29" xfId="0" applyNumberFormat="1" applyFill="1" applyBorder="1" applyAlignment="1" applyProtection="1">
      <alignment horizontal="center" vertical="center"/>
      <protection locked="0"/>
    </xf>
    <xf numFmtId="41" fontId="9" fillId="43" borderId="28" xfId="42" applyNumberFormat="1" applyFont="1" applyFill="1" applyBorder="1" applyAlignment="1" applyProtection="1">
      <alignment horizontal="right"/>
      <protection locked="0"/>
    </xf>
    <xf numFmtId="41" fontId="9" fillId="43" borderId="29" xfId="42" applyNumberFormat="1" applyFont="1" applyFill="1" applyBorder="1" applyAlignment="1" applyProtection="1">
      <alignment horizontal="right"/>
      <protection locked="0"/>
    </xf>
    <xf numFmtId="3" fontId="9" fillId="43" borderId="28" xfId="42" applyNumberFormat="1" applyFont="1" applyFill="1" applyBorder="1" applyAlignment="1" applyProtection="1">
      <alignment horizontal="right"/>
      <protection locked="0"/>
    </xf>
    <xf numFmtId="181" fontId="9" fillId="43" borderId="28" xfId="42" applyNumberFormat="1" applyFont="1" applyFill="1" applyBorder="1" applyAlignment="1" applyProtection="1">
      <alignment horizontal="left"/>
      <protection locked="0"/>
    </xf>
    <xf numFmtId="181" fontId="9" fillId="43" borderId="29" xfId="42" applyNumberFormat="1" applyFont="1" applyFill="1" applyBorder="1" applyAlignment="1" applyProtection="1">
      <alignment horizontal="left"/>
      <protection locked="0"/>
    </xf>
    <xf numFmtId="0" fontId="9" fillId="43" borderId="29" xfId="0" applyFont="1" applyFill="1" applyBorder="1" applyAlignment="1" applyProtection="1">
      <alignment/>
      <protection locked="0"/>
    </xf>
    <xf numFmtId="41" fontId="9" fillId="43" borderId="28" xfId="42" applyNumberFormat="1" applyFont="1" applyFill="1" applyBorder="1" applyAlignment="1" applyProtection="1">
      <alignment horizontal="left"/>
      <protection locked="0"/>
    </xf>
    <xf numFmtId="166" fontId="7" fillId="43" borderId="0" xfId="0" applyNumberFormat="1" applyFont="1" applyFill="1" applyAlignment="1" applyProtection="1">
      <alignment/>
      <protection locked="0"/>
    </xf>
    <xf numFmtId="166" fontId="7" fillId="43" borderId="0" xfId="0" applyNumberFormat="1" applyFont="1" applyFill="1" applyBorder="1" applyAlignment="1" applyProtection="1">
      <alignment/>
      <protection locked="0"/>
    </xf>
    <xf numFmtId="2" fontId="7" fillId="43" borderId="0" xfId="0" applyNumberFormat="1" applyFont="1" applyFill="1" applyAlignment="1" applyProtection="1">
      <alignment/>
      <protection locked="0"/>
    </xf>
    <xf numFmtId="0" fontId="7" fillId="43" borderId="0" xfId="0" applyFont="1" applyFill="1" applyAlignment="1" applyProtection="1">
      <alignment/>
      <protection locked="0"/>
    </xf>
    <xf numFmtId="164" fontId="7" fillId="43" borderId="0" xfId="0" applyNumberFormat="1" applyFont="1" applyFill="1" applyAlignment="1" applyProtection="1">
      <alignment/>
      <protection locked="0"/>
    </xf>
    <xf numFmtId="164" fontId="7" fillId="43" borderId="0" xfId="0" applyNumberFormat="1" applyFont="1" applyFill="1" applyAlignment="1" applyProtection="1">
      <alignment horizontal="center" vertical="center"/>
      <protection locked="0"/>
    </xf>
    <xf numFmtId="4" fontId="7" fillId="43" borderId="0" xfId="0" applyNumberFormat="1" applyFont="1" applyFill="1" applyAlignment="1" applyProtection="1">
      <alignment/>
      <protection locked="0"/>
    </xf>
    <xf numFmtId="3" fontId="7" fillId="43" borderId="0" xfId="0" applyNumberFormat="1" applyFont="1" applyFill="1" applyAlignment="1" applyProtection="1">
      <alignment horizontal="center" vertical="center"/>
      <protection locked="0"/>
    </xf>
    <xf numFmtId="0" fontId="7" fillId="43" borderId="0" xfId="0" applyFont="1" applyFill="1" applyAlignment="1" applyProtection="1">
      <alignment horizontal="center"/>
      <protection locked="0"/>
    </xf>
    <xf numFmtId="172" fontId="7" fillId="43" borderId="0" xfId="0" applyNumberFormat="1" applyFont="1" applyFill="1" applyBorder="1" applyAlignment="1" applyProtection="1">
      <alignment/>
      <protection locked="0"/>
    </xf>
    <xf numFmtId="0" fontId="0" fillId="2" borderId="0" xfId="0" applyFont="1" applyAlignment="1">
      <alignment horizontal="left" vertical="top" wrapText="1"/>
    </xf>
    <xf numFmtId="0" fontId="17" fillId="2" borderId="0" xfId="0" applyFont="1" applyAlignment="1">
      <alignment horizontal="center"/>
    </xf>
    <xf numFmtId="49" fontId="0" fillId="2" borderId="0" xfId="0" applyNumberFormat="1" applyFont="1" applyAlignment="1">
      <alignment horizontal="center"/>
    </xf>
    <xf numFmtId="0" fontId="0" fillId="2" borderId="0" xfId="0" applyFont="1" applyAlignment="1">
      <alignment horizontal="left" vertical="top" wrapText="1" readingOrder="1"/>
    </xf>
    <xf numFmtId="0" fontId="6" fillId="2" borderId="0" xfId="0" applyFont="1" applyAlignment="1">
      <alignment horizontal="left"/>
    </xf>
    <xf numFmtId="0" fontId="15" fillId="2" borderId="0" xfId="0" applyFont="1" applyAlignment="1">
      <alignment horizontal="center"/>
    </xf>
    <xf numFmtId="0" fontId="13" fillId="0" borderId="0" xfId="0" applyFont="1" applyFill="1" applyAlignment="1">
      <alignment horizontal="left"/>
    </xf>
    <xf numFmtId="0" fontId="13" fillId="36" borderId="0" xfId="0" applyFont="1" applyFill="1" applyAlignment="1">
      <alignment horizontal="left"/>
    </xf>
    <xf numFmtId="0" fontId="0" fillId="2" borderId="0" xfId="0" applyFont="1" applyAlignment="1">
      <alignment horizontal="center"/>
    </xf>
    <xf numFmtId="0" fontId="0" fillId="2"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K23"/>
  <sheetViews>
    <sheetView tabSelected="1" workbookViewId="0" topLeftCell="A1">
      <selection activeCell="A1" sqref="A1:J23"/>
    </sheetView>
  </sheetViews>
  <sheetFormatPr defaultColWidth="8.8515625" defaultRowHeight="12.75"/>
  <cols>
    <col min="1" max="1" width="4.140625" style="0" customWidth="1"/>
  </cols>
  <sheetData>
    <row r="1" spans="1:10" ht="12.75">
      <c r="A1" s="374" t="s">
        <v>183</v>
      </c>
      <c r="B1" s="374"/>
      <c r="C1" s="374"/>
      <c r="D1" s="374"/>
      <c r="E1" s="374"/>
      <c r="F1" s="374"/>
      <c r="G1" s="374"/>
      <c r="H1" s="374"/>
      <c r="I1" s="374"/>
      <c r="J1" s="374"/>
    </row>
    <row r="2" spans="1:10" ht="12.75">
      <c r="A2" s="374" t="s">
        <v>342</v>
      </c>
      <c r="B2" s="374"/>
      <c r="C2" s="374"/>
      <c r="D2" s="374"/>
      <c r="E2" s="374"/>
      <c r="F2" s="374"/>
      <c r="G2" s="374"/>
      <c r="H2" s="374"/>
      <c r="I2" s="374"/>
      <c r="J2" s="374"/>
    </row>
    <row r="3" spans="1:10" ht="12.75">
      <c r="A3" s="374"/>
      <c r="B3" s="374"/>
      <c r="C3" s="374"/>
      <c r="D3" s="374"/>
      <c r="E3" s="374"/>
      <c r="F3" s="374"/>
      <c r="G3" s="374"/>
      <c r="H3" s="374"/>
      <c r="I3" s="374"/>
      <c r="J3" s="374"/>
    </row>
    <row r="4" spans="1:10" ht="12">
      <c r="A4" s="375" t="s">
        <v>356</v>
      </c>
      <c r="B4" s="375"/>
      <c r="C4" s="375"/>
      <c r="D4" s="375"/>
      <c r="E4" s="375"/>
      <c r="F4" s="375"/>
      <c r="G4" s="375"/>
      <c r="H4" s="375"/>
      <c r="I4" s="375"/>
      <c r="J4" s="375"/>
    </row>
    <row r="5" spans="1:8" ht="7.5" customHeight="1">
      <c r="A5" s="126"/>
      <c r="C5" s="126"/>
      <c r="D5" s="126"/>
      <c r="E5" s="126"/>
      <c r="F5" s="126"/>
      <c r="G5" s="126"/>
      <c r="H5" s="126"/>
    </row>
    <row r="6" spans="1:8" ht="12.75">
      <c r="A6" s="126"/>
      <c r="B6" s="12" t="s">
        <v>103</v>
      </c>
      <c r="C6" s="126"/>
      <c r="D6" s="126"/>
      <c r="E6" s="126"/>
      <c r="F6" s="126"/>
      <c r="G6" s="126"/>
      <c r="H6" s="126"/>
    </row>
    <row r="7" spans="1:8" ht="7.5" customHeight="1">
      <c r="A7" s="126"/>
      <c r="C7" s="126"/>
      <c r="D7" s="126"/>
      <c r="E7" s="126"/>
      <c r="F7" s="126"/>
      <c r="G7" s="126"/>
      <c r="H7" s="126"/>
    </row>
    <row r="8" spans="1:8" ht="12.75">
      <c r="A8" s="126"/>
      <c r="B8" s="127" t="s">
        <v>326</v>
      </c>
      <c r="C8" s="126"/>
      <c r="D8" s="126"/>
      <c r="E8" s="126"/>
      <c r="F8" s="126"/>
      <c r="G8" s="126"/>
      <c r="H8" s="126"/>
    </row>
    <row r="9" spans="1:8" ht="12.75">
      <c r="A9" s="126"/>
      <c r="B9" s="12" t="s">
        <v>125</v>
      </c>
      <c r="C9" s="126"/>
      <c r="D9" s="126"/>
      <c r="E9" s="126"/>
      <c r="F9" s="126"/>
      <c r="G9" s="126"/>
      <c r="H9" s="126"/>
    </row>
    <row r="10" spans="1:8" ht="12.75">
      <c r="A10" s="126"/>
      <c r="B10" s="12" t="s">
        <v>124</v>
      </c>
      <c r="C10" s="126"/>
      <c r="D10" s="126"/>
      <c r="E10" s="126"/>
      <c r="F10" s="126"/>
      <c r="G10" s="126"/>
      <c r="H10" s="126"/>
    </row>
    <row r="11" spans="1:8" ht="9.75" customHeight="1">
      <c r="A11" s="126"/>
      <c r="C11" s="126"/>
      <c r="D11" s="126"/>
      <c r="E11" s="126"/>
      <c r="F11" s="126"/>
      <c r="G11" s="126"/>
      <c r="H11" s="126"/>
    </row>
    <row r="12" spans="2:10" ht="59.25" customHeight="1">
      <c r="B12" s="376" t="s">
        <v>228</v>
      </c>
      <c r="C12" s="376"/>
      <c r="D12" s="376"/>
      <c r="E12" s="376"/>
      <c r="F12" s="376"/>
      <c r="G12" s="376"/>
      <c r="H12" s="376"/>
      <c r="I12" s="376"/>
      <c r="J12" s="376"/>
    </row>
    <row r="13" spans="2:10" ht="79.5" customHeight="1">
      <c r="B13" s="373" t="s">
        <v>101</v>
      </c>
      <c r="C13" s="373"/>
      <c r="D13" s="373"/>
      <c r="E13" s="373"/>
      <c r="F13" s="373"/>
      <c r="G13" s="373"/>
      <c r="H13" s="373"/>
      <c r="I13" s="373"/>
      <c r="J13" s="373"/>
    </row>
    <row r="14" spans="2:10" ht="7.5" customHeight="1">
      <c r="B14" s="128"/>
      <c r="C14" s="128"/>
      <c r="D14" s="128"/>
      <c r="E14" s="128"/>
      <c r="F14" s="128"/>
      <c r="G14" s="128"/>
      <c r="H14" s="128"/>
      <c r="I14" s="128"/>
      <c r="J14" s="128"/>
    </row>
    <row r="15" spans="2:10" ht="64.5" customHeight="1">
      <c r="B15" s="373" t="s">
        <v>102</v>
      </c>
      <c r="C15" s="373"/>
      <c r="D15" s="373"/>
      <c r="E15" s="373"/>
      <c r="F15" s="373"/>
      <c r="G15" s="373"/>
      <c r="H15" s="373"/>
      <c r="I15" s="373"/>
      <c r="J15" s="373"/>
    </row>
    <row r="16" spans="2:9" ht="7.5" customHeight="1">
      <c r="B16" s="129"/>
      <c r="C16" s="129"/>
      <c r="D16" s="129"/>
      <c r="E16" s="129"/>
      <c r="F16" s="129"/>
      <c r="G16" s="129"/>
      <c r="H16" s="129"/>
      <c r="I16" s="129"/>
    </row>
    <row r="17" spans="2:10" ht="77.25" customHeight="1">
      <c r="B17" s="373" t="s">
        <v>335</v>
      </c>
      <c r="C17" s="373"/>
      <c r="D17" s="373"/>
      <c r="E17" s="373"/>
      <c r="F17" s="373"/>
      <c r="G17" s="373"/>
      <c r="H17" s="373"/>
      <c r="I17" s="373"/>
      <c r="J17" s="373"/>
    </row>
    <row r="18" ht="8.25" customHeight="1"/>
    <row r="19" spans="2:11" ht="12">
      <c r="B19" s="127" t="s">
        <v>126</v>
      </c>
      <c r="C19" s="45"/>
      <c r="D19" s="45"/>
      <c r="E19" s="45"/>
      <c r="F19" s="45"/>
      <c r="G19" s="45"/>
      <c r="H19" s="45"/>
      <c r="I19" s="45"/>
      <c r="J19" s="45"/>
      <c r="K19" s="45"/>
    </row>
    <row r="20" spans="2:11" ht="12">
      <c r="B20" s="127" t="s">
        <v>127</v>
      </c>
      <c r="C20" s="4"/>
      <c r="D20" s="4"/>
      <c r="E20" s="4"/>
      <c r="F20" s="4"/>
      <c r="G20" s="4"/>
      <c r="H20" s="4"/>
      <c r="I20" s="4"/>
      <c r="J20" s="4"/>
      <c r="K20" s="4"/>
    </row>
    <row r="21" spans="2:11" ht="12">
      <c r="B21" s="127" t="s">
        <v>128</v>
      </c>
      <c r="C21" s="4"/>
      <c r="D21" s="4"/>
      <c r="E21" s="4"/>
      <c r="F21" s="4"/>
      <c r="G21" s="4"/>
      <c r="H21" s="4"/>
      <c r="I21" s="4"/>
      <c r="J21" s="4"/>
      <c r="K21" s="4"/>
    </row>
    <row r="22" spans="2:11" ht="12">
      <c r="B22" s="127" t="s">
        <v>129</v>
      </c>
      <c r="C22" s="4"/>
      <c r="D22" s="4"/>
      <c r="E22" s="4"/>
      <c r="F22" s="4"/>
      <c r="G22" s="4"/>
      <c r="H22" s="4"/>
      <c r="I22" s="4"/>
      <c r="J22" s="4"/>
      <c r="K22" s="4"/>
    </row>
    <row r="23" spans="2:11" ht="12">
      <c r="B23" s="131" t="s">
        <v>334</v>
      </c>
      <c r="C23" s="4"/>
      <c r="D23" s="4"/>
      <c r="E23" s="4"/>
      <c r="F23" s="4"/>
      <c r="G23" s="4"/>
      <c r="H23" s="4"/>
      <c r="I23" s="4"/>
      <c r="J23" s="4"/>
      <c r="K23" s="4"/>
    </row>
  </sheetData>
  <sheetProtection password="ECAF" sheet="1" selectLockedCells="1"/>
  <mergeCells count="8">
    <mergeCell ref="B15:J15"/>
    <mergeCell ref="B17:J17"/>
    <mergeCell ref="A1:J1"/>
    <mergeCell ref="A2:J2"/>
    <mergeCell ref="A3:J3"/>
    <mergeCell ref="A4:J4"/>
    <mergeCell ref="B12:J12"/>
    <mergeCell ref="B13:J13"/>
  </mergeCells>
  <printOptions/>
  <pageMargins left="0.7" right="0.7" top="0.61" bottom="0.4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FF0000"/>
  </sheetPr>
  <dimension ref="A1:O47"/>
  <sheetViews>
    <sheetView workbookViewId="0" topLeftCell="A4">
      <selection activeCell="G5" sqref="G5"/>
    </sheetView>
  </sheetViews>
  <sheetFormatPr defaultColWidth="8.8515625" defaultRowHeight="12.75"/>
  <cols>
    <col min="1" max="1" width="16.7109375" style="0" customWidth="1"/>
    <col min="2" max="7" width="8.8515625" style="0" customWidth="1"/>
    <col min="8" max="8" width="10.28125" style="0" bestFit="1" customWidth="1"/>
  </cols>
  <sheetData>
    <row r="1" spans="1:10" ht="12">
      <c r="A1" s="377" t="s">
        <v>336</v>
      </c>
      <c r="B1" s="377"/>
      <c r="C1" s="377"/>
      <c r="D1" s="377"/>
      <c r="E1" s="377"/>
      <c r="F1" s="377"/>
      <c r="G1" s="377"/>
      <c r="H1" s="377"/>
      <c r="I1" s="377"/>
      <c r="J1" s="132"/>
    </row>
    <row r="2" spans="1:10" ht="12">
      <c r="A2" s="43" t="s">
        <v>2</v>
      </c>
      <c r="B2" s="43"/>
      <c r="C2" s="43"/>
      <c r="D2" s="43"/>
      <c r="E2" s="43"/>
      <c r="F2" s="43"/>
      <c r="G2" s="43"/>
      <c r="H2" s="43"/>
      <c r="I2" s="43"/>
      <c r="J2" s="44"/>
    </row>
    <row r="3" ht="12">
      <c r="A3" s="3" t="s">
        <v>81</v>
      </c>
    </row>
    <row r="5" spans="2:7" ht="12">
      <c r="B5" t="s">
        <v>231</v>
      </c>
      <c r="G5" s="346">
        <v>15000</v>
      </c>
    </row>
    <row r="7" spans="2:8" ht="12">
      <c r="B7" s="12" t="s">
        <v>229</v>
      </c>
      <c r="G7" s="347">
        <v>0.94</v>
      </c>
      <c r="H7" s="4" t="s">
        <v>230</v>
      </c>
    </row>
    <row r="8" spans="2:8" ht="12">
      <c r="B8" s="12"/>
      <c r="C8" s="12" t="s">
        <v>2</v>
      </c>
      <c r="G8" s="159">
        <f>G5*G7</f>
        <v>14100</v>
      </c>
      <c r="H8" s="127" t="s">
        <v>241</v>
      </c>
    </row>
    <row r="9" spans="2:8" ht="12">
      <c r="B9" s="12"/>
      <c r="C9" s="12"/>
      <c r="G9" s="159">
        <f>G8/6</f>
        <v>2350</v>
      </c>
      <c r="H9" s="127" t="s">
        <v>243</v>
      </c>
    </row>
    <row r="10" ht="12">
      <c r="B10" s="12" t="s">
        <v>2</v>
      </c>
    </row>
    <row r="11" spans="3:9" ht="12">
      <c r="C11" s="12" t="s">
        <v>232</v>
      </c>
      <c r="G11" s="348">
        <v>0.1</v>
      </c>
      <c r="H11" s="289">
        <f aca="true" t="shared" si="0" ref="H11:H16">$G$8*G11</f>
        <v>1410</v>
      </c>
      <c r="I11" s="4" t="s">
        <v>107</v>
      </c>
    </row>
    <row r="12" spans="3:9" ht="12">
      <c r="C12" s="12" t="s">
        <v>233</v>
      </c>
      <c r="G12" s="348">
        <v>0.15</v>
      </c>
      <c r="H12" s="289">
        <f t="shared" si="0"/>
        <v>2115</v>
      </c>
      <c r="I12" s="4" t="s">
        <v>107</v>
      </c>
    </row>
    <row r="13" spans="3:9" ht="12">
      <c r="C13" s="12" t="s">
        <v>234</v>
      </c>
      <c r="G13" s="348">
        <v>0.25</v>
      </c>
      <c r="H13" s="289">
        <f t="shared" si="0"/>
        <v>3525</v>
      </c>
      <c r="I13" s="4" t="s">
        <v>107</v>
      </c>
    </row>
    <row r="14" spans="3:9" ht="12">
      <c r="C14" s="12" t="s">
        <v>235</v>
      </c>
      <c r="G14" s="348">
        <v>0.2</v>
      </c>
      <c r="H14" s="289">
        <f t="shared" si="0"/>
        <v>2820</v>
      </c>
      <c r="I14" s="4" t="s">
        <v>107</v>
      </c>
    </row>
    <row r="15" spans="3:9" ht="12">
      <c r="C15" s="12" t="s">
        <v>236</v>
      </c>
      <c r="G15" s="348">
        <v>0.15</v>
      </c>
      <c r="H15" s="289">
        <f t="shared" si="0"/>
        <v>2115</v>
      </c>
      <c r="I15" s="4" t="s">
        <v>107</v>
      </c>
    </row>
    <row r="16" spans="3:9" ht="12">
      <c r="C16" s="12" t="s">
        <v>237</v>
      </c>
      <c r="G16" s="348">
        <v>0.15</v>
      </c>
      <c r="H16" s="289">
        <f t="shared" si="0"/>
        <v>2115</v>
      </c>
      <c r="I16" s="4" t="s">
        <v>107</v>
      </c>
    </row>
    <row r="18" spans="2:9" ht="12">
      <c r="B18" s="12" t="s">
        <v>2</v>
      </c>
      <c r="C18" s="12" t="s">
        <v>238</v>
      </c>
      <c r="G18" s="348">
        <v>0.4</v>
      </c>
      <c r="H18" s="289">
        <f>$G$8*G18</f>
        <v>5640</v>
      </c>
      <c r="I18" s="4" t="s">
        <v>107</v>
      </c>
    </row>
    <row r="19" spans="3:8" ht="12">
      <c r="C19" s="12" t="s">
        <v>2</v>
      </c>
      <c r="D19" s="12" t="s">
        <v>239</v>
      </c>
      <c r="G19" s="349">
        <v>17</v>
      </c>
      <c r="H19" s="127" t="s">
        <v>244</v>
      </c>
    </row>
    <row r="20" spans="3:8" ht="12">
      <c r="C20" s="12"/>
      <c r="D20" s="12"/>
      <c r="G20" s="122">
        <f>G19/6</f>
        <v>2.8333333333333335</v>
      </c>
      <c r="H20" s="127" t="s">
        <v>245</v>
      </c>
    </row>
    <row r="21" spans="3:8" ht="12">
      <c r="C21" s="12"/>
      <c r="D21" s="12"/>
      <c r="G21" s="122"/>
      <c r="H21" s="127"/>
    </row>
    <row r="22" spans="3:9" ht="12">
      <c r="C22" s="12" t="s">
        <v>240</v>
      </c>
      <c r="G22" s="348">
        <v>0.6</v>
      </c>
      <c r="H22" s="289">
        <f>$G$8*G22</f>
        <v>8460</v>
      </c>
      <c r="I22" s="4" t="s">
        <v>107</v>
      </c>
    </row>
    <row r="23" spans="3:8" ht="12">
      <c r="C23" s="12" t="s">
        <v>2</v>
      </c>
      <c r="D23" s="12" t="s">
        <v>239</v>
      </c>
      <c r="G23" s="349">
        <v>19</v>
      </c>
      <c r="H23" s="127" t="s">
        <v>244</v>
      </c>
    </row>
    <row r="24" spans="7:15" ht="12">
      <c r="G24" s="33">
        <f>G23/6</f>
        <v>3.1666666666666665</v>
      </c>
      <c r="H24" s="127" t="s">
        <v>245</v>
      </c>
      <c r="O24" s="120"/>
    </row>
    <row r="25" spans="1:15" ht="12">
      <c r="A25" s="3" t="s">
        <v>84</v>
      </c>
      <c r="O25" s="120"/>
    </row>
    <row r="26" ht="12">
      <c r="O26" s="120"/>
    </row>
    <row r="27" ht="12">
      <c r="B27" s="12" t="s">
        <v>83</v>
      </c>
    </row>
    <row r="28" spans="3:8" ht="12">
      <c r="C28" s="12" t="s">
        <v>105</v>
      </c>
      <c r="G28" s="349">
        <v>14</v>
      </c>
      <c r="H28" s="12" t="s">
        <v>246</v>
      </c>
    </row>
    <row r="29" spans="3:8" ht="12">
      <c r="C29" s="12" t="s">
        <v>106</v>
      </c>
      <c r="G29" s="349">
        <v>10.6</v>
      </c>
      <c r="H29" s="12" t="s">
        <v>246</v>
      </c>
    </row>
    <row r="30" spans="2:8" ht="12">
      <c r="B30" s="12" t="s">
        <v>82</v>
      </c>
      <c r="G30" s="349">
        <v>1.15</v>
      </c>
      <c r="H30" s="12" t="s">
        <v>244</v>
      </c>
    </row>
    <row r="31" spans="2:8" ht="12">
      <c r="B31" s="12"/>
      <c r="G31" s="122"/>
      <c r="H31" s="12"/>
    </row>
    <row r="32" spans="2:8" ht="12">
      <c r="B32" s="113" t="s">
        <v>329</v>
      </c>
      <c r="G32" s="349">
        <v>0.75</v>
      </c>
      <c r="H32" s="12" t="s">
        <v>330</v>
      </c>
    </row>
    <row r="34" spans="2:8" ht="12">
      <c r="B34" s="12" t="s">
        <v>117</v>
      </c>
      <c r="G34" s="349">
        <v>3</v>
      </c>
      <c r="H34" s="12" t="s">
        <v>247</v>
      </c>
    </row>
    <row r="35" spans="2:8" ht="12">
      <c r="B35" s="12" t="s">
        <v>118</v>
      </c>
      <c r="G35" s="349">
        <v>3.5</v>
      </c>
      <c r="H35" s="12" t="s">
        <v>247</v>
      </c>
    </row>
    <row r="37" spans="2:7" ht="12">
      <c r="B37" t="s">
        <v>69</v>
      </c>
      <c r="C37" s="120"/>
      <c r="D37" s="120"/>
      <c r="E37" s="130"/>
      <c r="G37" s="350">
        <v>0.05</v>
      </c>
    </row>
    <row r="38" spans="2:7" ht="12">
      <c r="B38" t="s">
        <v>70</v>
      </c>
      <c r="C38" s="120"/>
      <c r="D38" s="130"/>
      <c r="E38" s="130"/>
      <c r="G38" s="350">
        <v>0.01</v>
      </c>
    </row>
    <row r="39" spans="2:7" ht="12">
      <c r="B39" t="s">
        <v>71</v>
      </c>
      <c r="C39" s="120"/>
      <c r="D39" s="120"/>
      <c r="E39" s="120"/>
      <c r="G39" s="350">
        <v>0.01</v>
      </c>
    </row>
    <row r="40" spans="3:7" ht="12">
      <c r="C40" s="120"/>
      <c r="D40" s="120"/>
      <c r="E40" s="120"/>
      <c r="G40" s="133"/>
    </row>
    <row r="41" spans="1:7" ht="12">
      <c r="A41" s="3" t="s">
        <v>108</v>
      </c>
      <c r="C41" s="120"/>
      <c r="D41" s="120"/>
      <c r="E41" s="120"/>
      <c r="G41" s="133"/>
    </row>
    <row r="42" ht="13.5" customHeight="1"/>
    <row r="43" spans="1:9" ht="60.75" thickBot="1">
      <c r="A43" s="134" t="s">
        <v>110</v>
      </c>
      <c r="B43" s="134" t="s">
        <v>94</v>
      </c>
      <c r="C43" s="134" t="s">
        <v>95</v>
      </c>
      <c r="D43" s="134" t="s">
        <v>96</v>
      </c>
      <c r="E43" s="135" t="s">
        <v>109</v>
      </c>
      <c r="F43" s="135" t="s">
        <v>97</v>
      </c>
      <c r="G43" s="135" t="s">
        <v>98</v>
      </c>
      <c r="H43" s="135" t="s">
        <v>99</v>
      </c>
      <c r="I43" s="135" t="s">
        <v>100</v>
      </c>
    </row>
    <row r="44" spans="1:9" ht="13.5" customHeight="1" thickBot="1" thickTop="1">
      <c r="A44" s="136" t="s">
        <v>72</v>
      </c>
      <c r="B44" s="156">
        <f>G$35</f>
        <v>3.5</v>
      </c>
      <c r="C44" s="351">
        <v>1.5</v>
      </c>
      <c r="D44" s="352">
        <v>0.02</v>
      </c>
      <c r="E44" s="137"/>
      <c r="F44" s="137"/>
      <c r="G44" s="138">
        <f>B44*C44</f>
        <v>5.25</v>
      </c>
      <c r="H44" s="139">
        <f>G44*D44</f>
        <v>0.105</v>
      </c>
      <c r="I44" s="139">
        <f>G44+H44</f>
        <v>5.355</v>
      </c>
    </row>
    <row r="45" spans="1:9" ht="13.5" customHeight="1" thickBot="1" thickTop="1">
      <c r="A45" s="140" t="s">
        <v>73</v>
      </c>
      <c r="B45" s="156">
        <f>G$35</f>
        <v>3.5</v>
      </c>
      <c r="C45" s="353">
        <v>2.5</v>
      </c>
      <c r="D45" s="354">
        <v>0.02</v>
      </c>
      <c r="E45" s="141"/>
      <c r="F45" s="141"/>
      <c r="G45" s="142">
        <f>B45*C45</f>
        <v>8.75</v>
      </c>
      <c r="H45" s="143">
        <f>G45*D45</f>
        <v>0.17500000000000002</v>
      </c>
      <c r="I45" s="143">
        <f>G45+H45</f>
        <v>8.925</v>
      </c>
    </row>
    <row r="46" spans="1:9" ht="13.5" customHeight="1" thickBot="1" thickTop="1">
      <c r="A46" s="140" t="s">
        <v>74</v>
      </c>
      <c r="B46" s="156">
        <f>G$35</f>
        <v>3.5</v>
      </c>
      <c r="C46" s="353">
        <v>0.375</v>
      </c>
      <c r="D46" s="354">
        <v>0.02</v>
      </c>
      <c r="E46" s="144"/>
      <c r="F46" s="144"/>
      <c r="G46" s="142">
        <f>B46*C46</f>
        <v>1.3125</v>
      </c>
      <c r="H46" s="143">
        <f>G46*D46</f>
        <v>0.02625</v>
      </c>
      <c r="I46" s="143">
        <f>G46+H46</f>
        <v>1.33875</v>
      </c>
    </row>
    <row r="47" spans="1:9" ht="13.5" customHeight="1" thickTop="1">
      <c r="A47" s="145" t="s">
        <v>104</v>
      </c>
      <c r="B47" s="156">
        <f>G$34</f>
        <v>3</v>
      </c>
      <c r="C47" s="155"/>
      <c r="D47" s="354">
        <v>0.02</v>
      </c>
      <c r="E47" s="355">
        <v>15</v>
      </c>
      <c r="F47" s="355">
        <v>50</v>
      </c>
      <c r="G47" s="142">
        <f>(B47*F47)/E47</f>
        <v>10</v>
      </c>
      <c r="H47" s="143">
        <f>G47*D47</f>
        <v>0.2</v>
      </c>
      <c r="I47" s="143">
        <f>G47+H47</f>
        <v>10.2</v>
      </c>
    </row>
  </sheetData>
  <sheetProtection password="ECAF" sheet="1" selectLockedCells="1"/>
  <mergeCells count="1">
    <mergeCell ref="A1:I1"/>
  </mergeCells>
  <printOptions/>
  <pageMargins left="0.64" right="0.41"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rgb="FF7030A0"/>
  </sheetPr>
  <dimension ref="A1:J128"/>
  <sheetViews>
    <sheetView showGridLines="0" workbookViewId="0" topLeftCell="A1">
      <selection activeCell="A1" sqref="A1:J128"/>
    </sheetView>
  </sheetViews>
  <sheetFormatPr defaultColWidth="8.8515625" defaultRowHeight="12.75"/>
  <cols>
    <col min="1" max="5" width="8.8515625" style="0" customWidth="1"/>
    <col min="6" max="6" width="9.28125" style="0" bestFit="1" customWidth="1"/>
    <col min="7" max="7" width="10.28125" style="0" customWidth="1"/>
    <col min="8" max="9" width="9.8515625" style="0" bestFit="1" customWidth="1"/>
  </cols>
  <sheetData>
    <row r="1" spans="1:10" ht="12">
      <c r="A1" s="378" t="s">
        <v>248</v>
      </c>
      <c r="B1" s="378"/>
      <c r="C1" s="378"/>
      <c r="D1" s="378"/>
      <c r="E1" s="378"/>
      <c r="F1" s="378"/>
      <c r="G1" s="378"/>
      <c r="H1" s="378"/>
      <c r="I1" s="378"/>
      <c r="J1" s="378"/>
    </row>
    <row r="2" spans="1:10" ht="12.75" thickBot="1">
      <c r="A2" s="64" t="s">
        <v>2</v>
      </c>
      <c r="C2" s="64" t="s">
        <v>80</v>
      </c>
      <c r="E2" s="65">
        <f>Assumptions!G8</f>
        <v>14100</v>
      </c>
      <c r="F2" s="64" t="s">
        <v>79</v>
      </c>
      <c r="G2" s="65">
        <f>Assumptions!G9</f>
        <v>2350</v>
      </c>
      <c r="H2" s="64" t="s">
        <v>253</v>
      </c>
      <c r="I2" s="64"/>
      <c r="J2" s="64"/>
    </row>
    <row r="3" spans="2:10" ht="12">
      <c r="B3" s="55"/>
      <c r="C3" s="51"/>
      <c r="D3" s="58"/>
      <c r="E3" s="51"/>
      <c r="F3" s="49" t="s">
        <v>36</v>
      </c>
      <c r="G3" s="49" t="s">
        <v>37</v>
      </c>
      <c r="H3" s="49" t="s">
        <v>38</v>
      </c>
      <c r="I3" s="49" t="s">
        <v>39</v>
      </c>
      <c r="J3" s="49" t="s">
        <v>77</v>
      </c>
    </row>
    <row r="4" spans="1:10" ht="12.75" thickBot="1">
      <c r="A4" s="46" t="s">
        <v>3</v>
      </c>
      <c r="B4" s="46" t="s">
        <v>78</v>
      </c>
      <c r="C4" s="46"/>
      <c r="D4" s="46"/>
      <c r="E4" s="46"/>
      <c r="F4" s="50" t="s">
        <v>63</v>
      </c>
      <c r="G4" s="50" t="s">
        <v>63</v>
      </c>
      <c r="H4" s="50" t="s">
        <v>63</v>
      </c>
      <c r="I4" s="50" t="s">
        <v>63</v>
      </c>
      <c r="J4" s="50" t="s">
        <v>63</v>
      </c>
    </row>
    <row r="5" spans="1:10" ht="12">
      <c r="A5" s="283" t="s">
        <v>223</v>
      </c>
      <c r="B5" s="281"/>
      <c r="C5" s="281"/>
      <c r="D5" s="281"/>
      <c r="E5" s="281"/>
      <c r="F5" s="282"/>
      <c r="G5" s="282"/>
      <c r="H5" s="282"/>
      <c r="I5" s="282"/>
      <c r="J5" s="282"/>
    </row>
    <row r="6" spans="1:10" ht="12">
      <c r="A6" s="51" t="s">
        <v>30</v>
      </c>
      <c r="B6" s="13"/>
      <c r="C6" s="13"/>
      <c r="D6" s="13"/>
      <c r="E6" s="51"/>
      <c r="F6" s="52" t="s">
        <v>2</v>
      </c>
      <c r="G6" s="52" t="s">
        <v>2</v>
      </c>
      <c r="H6" s="52" t="s">
        <v>2</v>
      </c>
      <c r="I6" s="52" t="s">
        <v>2</v>
      </c>
      <c r="J6" s="51"/>
    </row>
    <row r="7" spans="1:10" s="60" customFormat="1" ht="12">
      <c r="A7" s="275"/>
      <c r="B7" s="276" t="s">
        <v>220</v>
      </c>
      <c r="C7" s="272"/>
      <c r="D7" s="272"/>
      <c r="E7" s="276"/>
      <c r="F7" s="279">
        <f>ProductionSequence!H8+ProductionSequence!H9+ProductionSequence!H10</f>
        <v>65.32321333333333</v>
      </c>
      <c r="G7" s="279">
        <f>ProductionSequence!L8+ProductionSequence!L9+ProductionSequence!L10</f>
        <v>0</v>
      </c>
      <c r="H7" s="279">
        <f>ProductionSequence!O8+ProductionSequence!O9+ProductionSequence!O10</f>
        <v>241.67999999999998</v>
      </c>
      <c r="I7" s="279">
        <f>ProductionSequence!P8+ProductionSequence!P9+ProductionSequence!P10</f>
        <v>307.00321333333335</v>
      </c>
      <c r="J7" s="278"/>
    </row>
    <row r="8" spans="1:10" s="60" customFormat="1" ht="12">
      <c r="A8" s="275"/>
      <c r="B8" s="276" t="s">
        <v>302</v>
      </c>
      <c r="C8" s="272"/>
      <c r="D8" s="272"/>
      <c r="E8" s="276"/>
      <c r="F8" s="52">
        <f>ProductionSequence!G11</f>
        <v>17.44746</v>
      </c>
      <c r="G8" s="52">
        <f>ProductionSequence!L11</f>
        <v>204</v>
      </c>
      <c r="H8" s="52">
        <f>ProductionSequence!O11</f>
        <v>12.719999999999999</v>
      </c>
      <c r="I8" s="52">
        <f>ProductionSequence!P11</f>
        <v>234.16746</v>
      </c>
      <c r="J8" s="278"/>
    </row>
    <row r="9" spans="1:10" ht="12">
      <c r="A9" s="51"/>
      <c r="B9" s="51" t="s">
        <v>191</v>
      </c>
      <c r="C9" s="13"/>
      <c r="D9" s="13"/>
      <c r="E9" s="51"/>
      <c r="F9" s="52">
        <f>ProductionSequence!G12</f>
        <v>18.742626666666666</v>
      </c>
      <c r="G9" s="52">
        <f>ProductionSequence!L12</f>
        <v>0</v>
      </c>
      <c r="H9" s="52">
        <f>ProductionSequence!O12</f>
        <v>12.719999999999999</v>
      </c>
      <c r="I9" s="52">
        <f>ProductionSequence!P12</f>
        <v>31.462626666666665</v>
      </c>
      <c r="J9" s="54"/>
    </row>
    <row r="10" spans="1:10" ht="12">
      <c r="A10" s="51"/>
      <c r="B10" s="51" t="s">
        <v>189</v>
      </c>
      <c r="C10" s="13"/>
      <c r="D10" s="13"/>
      <c r="E10" s="51"/>
      <c r="F10" s="52">
        <f>ProductionSequence!G13</f>
        <v>0</v>
      </c>
      <c r="G10" s="52">
        <f>ProductionSequence!L13</f>
        <v>55</v>
      </c>
      <c r="H10" s="52">
        <f>ProductionSequence!O13</f>
        <v>0</v>
      </c>
      <c r="I10" s="52">
        <f>ProductionSequence!P13</f>
        <v>55</v>
      </c>
      <c r="J10" s="54"/>
    </row>
    <row r="11" spans="1:10" ht="12">
      <c r="A11" s="275" t="s">
        <v>2</v>
      </c>
      <c r="B11" s="276" t="s">
        <v>192</v>
      </c>
      <c r="C11" s="272"/>
      <c r="D11" s="272"/>
      <c r="E11" s="276"/>
      <c r="F11" s="279">
        <f>ProductionSequence!H14+ProductionSequence!H15+ProductionSequence!H16+ProductionSequence!H17+ProductionSequence!H18+ProductionSequence!H19</f>
        <v>59.868880000000004</v>
      </c>
      <c r="G11" s="279">
        <f>ProductionSequence!L14+ProductionSequence!L15+ProductionSequence!L16+ProductionSequence!L17+ProductionSequence!L18+ProductionSequence!L19</f>
        <v>60.760000000000005</v>
      </c>
      <c r="H11" s="279">
        <f>ProductionSequence!O14+ProductionSequence!O15+ProductionSequence!O16+ProductionSequence!O17+ProductionSequence!O18+ProductionSequence!O19</f>
        <v>38.16</v>
      </c>
      <c r="I11" s="279">
        <f>ProductionSequence!P14+ProductionSequence!P15+ProductionSequence!P16+ProductionSequence!P17+ProductionSequence!P18+ProductionSequence!P19</f>
        <v>158.78888</v>
      </c>
      <c r="J11" s="54"/>
    </row>
    <row r="12" spans="1:10" ht="12">
      <c r="A12" s="275" t="s">
        <v>31</v>
      </c>
      <c r="B12" s="276"/>
      <c r="C12" s="276"/>
      <c r="D12" s="276"/>
      <c r="E12" s="276"/>
      <c r="F12" s="277">
        <f>ProductionSequence!H20</f>
        <v>161.38218</v>
      </c>
      <c r="G12" s="277">
        <f>ProductionSequence!L20</f>
        <v>319.76</v>
      </c>
      <c r="H12" s="277">
        <f>ProductionSequence!O20</f>
        <v>305.28</v>
      </c>
      <c r="I12" s="277">
        <f>ProductionSequence!P20</f>
        <v>786.42218</v>
      </c>
      <c r="J12" s="54"/>
    </row>
    <row r="13" spans="1:10" ht="12">
      <c r="A13" s="285" t="s">
        <v>224</v>
      </c>
      <c r="B13" s="284"/>
      <c r="C13" s="284"/>
      <c r="D13" s="284"/>
      <c r="E13" s="284"/>
      <c r="F13" s="287">
        <f>ProductionSequence!H21</f>
        <v>161.38218</v>
      </c>
      <c r="G13" s="287">
        <f>ProductionSequence!L21</f>
        <v>319.76</v>
      </c>
      <c r="H13" s="287">
        <f>ProductionSequence!O21</f>
        <v>305.28</v>
      </c>
      <c r="I13" s="287">
        <f>ProductionSequence!P21</f>
        <v>786.42218</v>
      </c>
      <c r="J13" s="54"/>
    </row>
    <row r="14" spans="1:10" ht="12">
      <c r="A14" s="286"/>
      <c r="B14" s="276"/>
      <c r="C14" s="276"/>
      <c r="D14" s="276"/>
      <c r="E14" s="276"/>
      <c r="F14" s="277" t="s">
        <v>2</v>
      </c>
      <c r="G14" s="277" t="s">
        <v>2</v>
      </c>
      <c r="H14" s="277" t="s">
        <v>2</v>
      </c>
      <c r="I14" s="277" t="s">
        <v>2</v>
      </c>
      <c r="J14" s="54"/>
    </row>
    <row r="15" spans="1:10" ht="12">
      <c r="A15" s="286" t="s">
        <v>225</v>
      </c>
      <c r="B15" s="276"/>
      <c r="C15" s="276"/>
      <c r="D15" s="276"/>
      <c r="E15" s="276"/>
      <c r="F15" s="277"/>
      <c r="G15" s="277"/>
      <c r="H15" s="277"/>
      <c r="I15" s="277"/>
      <c r="J15" s="54"/>
    </row>
    <row r="16" spans="1:10" ht="12">
      <c r="A16" s="51" t="s">
        <v>33</v>
      </c>
      <c r="B16" s="28" t="s">
        <v>2</v>
      </c>
      <c r="C16" s="154"/>
      <c r="D16" s="154"/>
      <c r="E16" s="51"/>
      <c r="F16" s="52" t="s">
        <v>2</v>
      </c>
      <c r="G16" s="52" t="s">
        <v>2</v>
      </c>
      <c r="H16" s="52" t="s">
        <v>2</v>
      </c>
      <c r="I16" s="52" t="s">
        <v>2</v>
      </c>
      <c r="J16" s="54" t="s">
        <v>2</v>
      </c>
    </row>
    <row r="17" spans="1:10" ht="12">
      <c r="A17" s="51"/>
      <c r="B17" s="28" t="s">
        <v>307</v>
      </c>
      <c r="C17" s="154"/>
      <c r="D17" s="154"/>
      <c r="E17" s="51"/>
      <c r="F17" s="52">
        <f>ProductionSequence!H25</f>
        <v>33.64290666666667</v>
      </c>
      <c r="G17" s="52">
        <f>ProductionSequence!L25</f>
        <v>0</v>
      </c>
      <c r="H17" s="52">
        <f>ProductionSequence!O25</f>
        <v>25.439999999999998</v>
      </c>
      <c r="I17" s="52">
        <f>ProductionSequence!P25</f>
        <v>59.082906666666666</v>
      </c>
      <c r="J17" s="54"/>
    </row>
    <row r="18" spans="1:10" ht="12">
      <c r="A18" s="51"/>
      <c r="B18" s="51" t="s">
        <v>193</v>
      </c>
      <c r="C18" s="154"/>
      <c r="D18" s="154"/>
      <c r="E18" s="51"/>
      <c r="F18" s="52">
        <f>ProductionSequence!H26</f>
        <v>108.81475999999999</v>
      </c>
      <c r="G18" s="52">
        <f>ProductionSequence!L26</f>
        <v>0</v>
      </c>
      <c r="H18" s="52">
        <f>ProductionSequence!O26</f>
        <v>76.32</v>
      </c>
      <c r="I18" s="52">
        <f>ProductionSequence!P26</f>
        <v>185.13475999999997</v>
      </c>
      <c r="J18" s="54"/>
    </row>
    <row r="19" spans="1:10" ht="12">
      <c r="A19" s="51"/>
      <c r="B19" s="51" t="s">
        <v>143</v>
      </c>
      <c r="C19" s="32"/>
      <c r="D19" s="31"/>
      <c r="E19" s="51"/>
      <c r="F19" s="52">
        <f>ProductionSequence!H27</f>
        <v>21.26886</v>
      </c>
      <c r="G19" s="52">
        <f>ProductionSequence!L27</f>
        <v>0</v>
      </c>
      <c r="H19" s="52">
        <f>ProductionSequence!O27</f>
        <v>19.08</v>
      </c>
      <c r="I19" s="52">
        <f>ProductionSequence!P27</f>
        <v>40.34886</v>
      </c>
      <c r="J19" s="54"/>
    </row>
    <row r="20" spans="1:10" ht="12">
      <c r="A20" s="51"/>
      <c r="B20" s="51" t="s">
        <v>194</v>
      </c>
      <c r="C20" s="32"/>
      <c r="D20" s="31"/>
      <c r="E20" s="51"/>
      <c r="F20" s="52">
        <f>ProductionSequence!H28</f>
        <v>18.742626666666666</v>
      </c>
      <c r="G20" s="52">
        <f>ProductionSequence!L28</f>
        <v>0</v>
      </c>
      <c r="H20" s="52">
        <f>ProductionSequence!O28</f>
        <v>12.719999999999999</v>
      </c>
      <c r="I20" s="52">
        <f>ProductionSequence!P28</f>
        <v>31.462626666666665</v>
      </c>
      <c r="J20" s="54"/>
    </row>
    <row r="21" spans="1:10" ht="12">
      <c r="A21" s="51"/>
      <c r="B21" s="51" t="s">
        <v>309</v>
      </c>
      <c r="C21" s="32"/>
      <c r="D21" s="31"/>
      <c r="E21" s="51"/>
      <c r="F21" s="52">
        <f>ProductionSequence!H29+ProductionSequence!H30</f>
        <v>0</v>
      </c>
      <c r="G21" s="52">
        <f>ProductionSequence!L29+ProductionSequence!L30</f>
        <v>0</v>
      </c>
      <c r="H21" s="52">
        <f>ProductionSequence!O29+ProductionSequence!O30</f>
        <v>147.6</v>
      </c>
      <c r="I21" s="52">
        <f>ProductionSequence!P29+ProductionSequence!P30</f>
        <v>147.6</v>
      </c>
      <c r="J21" s="54"/>
    </row>
    <row r="22" spans="1:10" ht="12">
      <c r="A22" s="51"/>
      <c r="B22" s="51" t="s">
        <v>310</v>
      </c>
      <c r="C22" s="32"/>
      <c r="D22" s="31"/>
      <c r="E22" s="51"/>
      <c r="F22" s="279">
        <f>ProductionSequence!H31+ProductionSequence!H32+ProductionSequence!H33+ProductionSequence!H34+ProductionSequence!H35+ProductionSequence!H36</f>
        <v>0</v>
      </c>
      <c r="G22" s="279">
        <f>ProductionSequence!L31+ProductionSequence!L32+ProductionSequence!L33+ProductionSequence!L34+ProductionSequence!L35+ProductionSequence!L36</f>
        <v>1236.795</v>
      </c>
      <c r="H22" s="279">
        <f>ProductionSequence!O31+ProductionSequence!O32+ProductionSequence!O33+ProductionSequence!O34+ProductionSequence!O35+ProductionSequence!O36</f>
        <v>14</v>
      </c>
      <c r="I22" s="279">
        <f>ProductionSequence!P31+ProductionSequence!P32+ProductionSequence!P33+ProductionSequence!P34+ProductionSequence!P35+ProductionSequence!P36</f>
        <v>1250.795</v>
      </c>
      <c r="J22" s="54"/>
    </row>
    <row r="23" spans="1:10" ht="12">
      <c r="A23" s="51"/>
      <c r="B23" s="51" t="s">
        <v>315</v>
      </c>
      <c r="C23" s="32"/>
      <c r="D23" s="31"/>
      <c r="E23" s="51"/>
      <c r="F23" s="52">
        <f>ProductionSequence!H37</f>
        <v>0</v>
      </c>
      <c r="G23" s="52">
        <f>ProductionSequence!L37</f>
        <v>0</v>
      </c>
      <c r="H23" s="52">
        <f>ProductionSequence!O37</f>
        <v>10.6</v>
      </c>
      <c r="I23" s="52">
        <f>ProductionSequence!P37</f>
        <v>10.6</v>
      </c>
      <c r="J23" s="54"/>
    </row>
    <row r="24" spans="1:10" ht="12">
      <c r="A24" s="51"/>
      <c r="B24" s="51" t="s">
        <v>316</v>
      </c>
      <c r="C24" s="32"/>
      <c r="D24" s="31"/>
      <c r="E24" s="51"/>
      <c r="F24" s="52">
        <f>ProductionSequence!H38</f>
        <v>0</v>
      </c>
      <c r="G24" s="52">
        <f>ProductionSequence!L38</f>
        <v>2779.2450000000003</v>
      </c>
      <c r="H24" s="52">
        <f>ProductionSequence!O38</f>
        <v>354.76875000000007</v>
      </c>
      <c r="I24" s="52">
        <f>ProductionSequence!P38</f>
        <v>3134.0137500000005</v>
      </c>
      <c r="J24" s="54"/>
    </row>
    <row r="25" spans="1:10" ht="12">
      <c r="A25" s="275" t="s">
        <v>221</v>
      </c>
      <c r="B25" s="276"/>
      <c r="C25" s="276"/>
      <c r="D25" s="276"/>
      <c r="E25" s="276"/>
      <c r="F25" s="277">
        <f>ProductionSequence!H39</f>
        <v>182.4691533333333</v>
      </c>
      <c r="G25" s="277">
        <f>ProductionSequence!L39</f>
        <v>4016.0400000000004</v>
      </c>
      <c r="H25" s="277">
        <f>ProductionSequence!O39</f>
        <v>660.5287500000001</v>
      </c>
      <c r="I25" s="277">
        <f>ProductionSequence!P39</f>
        <v>4859.037903333334</v>
      </c>
      <c r="J25" s="54"/>
    </row>
    <row r="26" spans="1:10" ht="12">
      <c r="A26" s="51" t="s">
        <v>34</v>
      </c>
      <c r="B26" s="32" t="s">
        <v>2</v>
      </c>
      <c r="C26" s="32" t="s">
        <v>2</v>
      </c>
      <c r="D26" s="31"/>
      <c r="E26" s="51"/>
      <c r="F26" s="52" t="s">
        <v>2</v>
      </c>
      <c r="G26" s="52" t="s">
        <v>2</v>
      </c>
      <c r="H26" s="52" t="s">
        <v>2</v>
      </c>
      <c r="I26" s="52" t="s">
        <v>2</v>
      </c>
      <c r="J26" s="54"/>
    </row>
    <row r="27" spans="1:10" ht="12">
      <c r="A27" s="51"/>
      <c r="B27" s="51" t="s">
        <v>318</v>
      </c>
      <c r="C27" s="32"/>
      <c r="D27" s="31"/>
      <c r="E27" s="51"/>
      <c r="F27" s="52">
        <f>ProductionSequence!H41</f>
        <v>0.21426666666666666</v>
      </c>
      <c r="G27" s="52">
        <f>ProductionSequence!L41</f>
        <v>0.72</v>
      </c>
      <c r="H27" s="52">
        <f>ProductionSequence!O41</f>
        <v>254.39999999999998</v>
      </c>
      <c r="I27" s="52">
        <f>ProductionSequence!P41</f>
        <v>255.33426666666665</v>
      </c>
      <c r="J27" s="54"/>
    </row>
    <row r="28" spans="1:10" ht="12">
      <c r="A28" s="51"/>
      <c r="B28" s="51" t="s">
        <v>198</v>
      </c>
      <c r="C28" s="32"/>
      <c r="D28" s="31"/>
      <c r="E28" s="51"/>
      <c r="F28" s="52">
        <f>ProductionSequence!H42</f>
        <v>0.8529300000000001</v>
      </c>
      <c r="G28" s="52">
        <f>ProductionSequence!L42</f>
        <v>0</v>
      </c>
      <c r="H28" s="52">
        <f>ProductionSequence!O42</f>
        <v>127.19999999999999</v>
      </c>
      <c r="I28" s="52">
        <f>ProductionSequence!P42</f>
        <v>128.05292999999998</v>
      </c>
      <c r="J28" s="54"/>
    </row>
    <row r="29" spans="1:10" ht="12">
      <c r="A29" s="51"/>
      <c r="B29" s="51" t="s">
        <v>344</v>
      </c>
      <c r="C29" s="32"/>
      <c r="D29" s="31"/>
      <c r="E29" s="51"/>
      <c r="F29" s="52">
        <f>ProductionSequence!H43</f>
        <v>54.407379999999996</v>
      </c>
      <c r="G29" s="52">
        <f>ProductionSequence!L43</f>
        <v>0</v>
      </c>
      <c r="H29" s="52">
        <f>ProductionSequence!O43</f>
        <v>38.16</v>
      </c>
      <c r="I29" s="52">
        <f>ProductionSequence!P43</f>
        <v>92.56737999999999</v>
      </c>
      <c r="J29" s="54"/>
    </row>
    <row r="30" spans="1:10" ht="12">
      <c r="A30" s="51"/>
      <c r="B30" s="51" t="s">
        <v>341</v>
      </c>
      <c r="C30" s="32"/>
      <c r="D30" s="31"/>
      <c r="E30" s="51"/>
      <c r="F30" s="52">
        <f>ProductionSequence!H44+ProductionSequence!H45+ProductionSequence!H46</f>
        <v>95.05638</v>
      </c>
      <c r="G30" s="52">
        <f>ProductionSequence!L44+ProductionSequence!L45+ProductionSequence!L46</f>
        <v>645.12</v>
      </c>
      <c r="H30" s="52">
        <f>ProductionSequence!O44+ProductionSequence!O45+ProductionSequence!O46</f>
        <v>50.39999999999999</v>
      </c>
      <c r="I30" s="52">
        <f>ProductionSequence!P44+ProductionSequence!P45+ProductionSequence!P46</f>
        <v>790.57638</v>
      </c>
      <c r="J30" s="54"/>
    </row>
    <row r="31" spans="1:10" ht="12">
      <c r="A31" s="51"/>
      <c r="B31" s="51" t="s">
        <v>199</v>
      </c>
      <c r="C31" s="51"/>
      <c r="D31" s="51"/>
      <c r="E31" s="51"/>
      <c r="F31" s="52">
        <f>ProductionSequence!H47</f>
        <v>6.833375</v>
      </c>
      <c r="G31" s="52">
        <f>ProductionSequence!L47</f>
        <v>16</v>
      </c>
      <c r="H31" s="52">
        <f>ProductionSequence!O47</f>
        <v>9.54</v>
      </c>
      <c r="I31" s="52">
        <f>ProductionSequence!P47</f>
        <v>32.373374999999996</v>
      </c>
      <c r="J31" s="54"/>
    </row>
    <row r="32" spans="1:10" ht="12">
      <c r="A32" s="285" t="s">
        <v>226</v>
      </c>
      <c r="B32" s="284"/>
      <c r="C32" s="284"/>
      <c r="D32" s="284"/>
      <c r="E32" s="284"/>
      <c r="F32" s="287">
        <f>ProductionSequence!H48</f>
        <v>339.833485</v>
      </c>
      <c r="G32" s="287">
        <f>ProductionSequence!L48</f>
        <v>4677.88</v>
      </c>
      <c r="H32" s="287">
        <f>ProductionSequence!O48</f>
        <v>1140.22875</v>
      </c>
      <c r="I32" s="287">
        <f>ProductionSequence!P48</f>
        <v>6157.942235</v>
      </c>
      <c r="J32" s="54"/>
    </row>
    <row r="33" spans="1:10" s="60" customFormat="1" ht="12">
      <c r="A33" s="286"/>
      <c r="B33" s="276"/>
      <c r="C33" s="276"/>
      <c r="D33" s="276"/>
      <c r="E33" s="276"/>
      <c r="F33" s="288" t="s">
        <v>2</v>
      </c>
      <c r="G33" s="288" t="s">
        <v>2</v>
      </c>
      <c r="H33" s="288" t="s">
        <v>2</v>
      </c>
      <c r="I33" s="288" t="s">
        <v>2</v>
      </c>
      <c r="J33" s="278"/>
    </row>
    <row r="34" spans="1:10" s="60" customFormat="1" ht="12">
      <c r="A34" s="286" t="s">
        <v>227</v>
      </c>
      <c r="B34" s="276"/>
      <c r="C34" s="276"/>
      <c r="D34" s="276"/>
      <c r="E34" s="276"/>
      <c r="F34" s="288"/>
      <c r="G34" s="288"/>
      <c r="H34" s="288"/>
      <c r="I34" s="288"/>
      <c r="J34" s="278"/>
    </row>
    <row r="35" spans="1:10" ht="12">
      <c r="A35" s="51" t="s">
        <v>2</v>
      </c>
      <c r="B35" s="51" t="s">
        <v>148</v>
      </c>
      <c r="C35" s="51"/>
      <c r="D35" s="51"/>
      <c r="E35" s="51"/>
      <c r="F35" s="52">
        <f>ProductionSequence!H51</f>
        <v>83.32776</v>
      </c>
      <c r="G35" s="52">
        <f>ProductionSequence!L51</f>
        <v>0</v>
      </c>
      <c r="H35" s="52">
        <f>ProductionSequence!O51</f>
        <v>318</v>
      </c>
      <c r="I35" s="52">
        <f>ProductionSequence!P51</f>
        <v>401.32776</v>
      </c>
      <c r="J35" s="51"/>
    </row>
    <row r="36" spans="1:10" ht="12">
      <c r="A36" s="51"/>
      <c r="B36" s="51" t="s">
        <v>201</v>
      </c>
      <c r="C36" s="51"/>
      <c r="D36" s="51"/>
      <c r="E36" s="51"/>
      <c r="F36" s="52">
        <f>ProductionSequence!H52</f>
        <v>241.35263999999998</v>
      </c>
      <c r="G36" s="52">
        <f>ProductionSequence!L52</f>
        <v>0</v>
      </c>
      <c r="H36" s="52">
        <f>ProductionSequence!O52</f>
        <v>114.47999999999999</v>
      </c>
      <c r="I36" s="52">
        <f>ProductionSequence!P52</f>
        <v>355.83263999999997</v>
      </c>
      <c r="J36" s="53"/>
    </row>
    <row r="37" spans="1:10" ht="12">
      <c r="A37" s="275" t="s">
        <v>222</v>
      </c>
      <c r="B37" s="276"/>
      <c r="C37" s="276"/>
      <c r="D37" s="276"/>
      <c r="E37" s="276"/>
      <c r="F37" s="277">
        <f>ProductionSequence!H53</f>
        <v>482.0447316666666</v>
      </c>
      <c r="G37" s="277">
        <f>ProductionSequence!L53</f>
        <v>661.8400000000001</v>
      </c>
      <c r="H37" s="277">
        <f>ProductionSequence!O53</f>
        <v>912.1800000000001</v>
      </c>
      <c r="I37" s="277">
        <f>ProductionSequence!P53</f>
        <v>2056.0647316666673</v>
      </c>
      <c r="J37" s="54"/>
    </row>
    <row r="38" spans="1:10" ht="12">
      <c r="A38" s="51" t="s">
        <v>16</v>
      </c>
      <c r="B38" s="51" t="s">
        <v>2</v>
      </c>
      <c r="C38" s="51"/>
      <c r="D38" s="51"/>
      <c r="E38" s="51"/>
      <c r="F38" s="52" t="s">
        <v>2</v>
      </c>
      <c r="G38" s="52" t="s">
        <v>2</v>
      </c>
      <c r="H38" s="52" t="s">
        <v>2</v>
      </c>
      <c r="I38" s="52" t="s">
        <v>2</v>
      </c>
      <c r="J38" s="54"/>
    </row>
    <row r="39" spans="1:10" ht="12">
      <c r="A39" s="51"/>
      <c r="B39" s="51" t="s">
        <v>150</v>
      </c>
      <c r="C39" s="51"/>
      <c r="D39" s="51"/>
      <c r="E39" s="51"/>
      <c r="F39" s="52">
        <f>ProductionSequence!H55</f>
        <v>0</v>
      </c>
      <c r="G39" s="52">
        <f>ProductionSequence!L55</f>
        <v>0</v>
      </c>
      <c r="H39" s="52">
        <f>ProductionSequence!O55</f>
        <v>15.899999999999999</v>
      </c>
      <c r="I39" s="52">
        <f>ProductionSequence!P55</f>
        <v>15.899999999999999</v>
      </c>
      <c r="J39" s="53"/>
    </row>
    <row r="40" spans="1:10" ht="12">
      <c r="A40" s="51"/>
      <c r="B40" s="51" t="s">
        <v>254</v>
      </c>
      <c r="C40" s="51"/>
      <c r="D40" s="51"/>
      <c r="E40" s="51"/>
      <c r="F40" s="52">
        <f>ProductionSequence!H56+ProductionSequence!H59</f>
        <v>28.825066666666668</v>
      </c>
      <c r="G40" s="52">
        <f>ProductionSequence!L56+ProductionSequence!L59</f>
        <v>0</v>
      </c>
      <c r="H40" s="52">
        <f>ProductionSequence!O56+ProductionSequence!O59</f>
        <v>5.6000000000000005</v>
      </c>
      <c r="I40" s="52">
        <f>ProductionSequence!P56+ProductionSequence!P59</f>
        <v>34.425066666666666</v>
      </c>
      <c r="J40" s="53"/>
    </row>
    <row r="41" spans="1:10" ht="12">
      <c r="A41" s="51" t="s">
        <v>2</v>
      </c>
      <c r="B41" s="51" t="s">
        <v>328</v>
      </c>
      <c r="C41" s="51"/>
      <c r="D41" s="51"/>
      <c r="E41" s="51"/>
      <c r="F41" s="52">
        <f>ProductionSequence!H57+ProductionSequence!H58</f>
        <v>13.427414</v>
      </c>
      <c r="G41" s="52">
        <f>ProductionSequence!L57+ProductionSequence!L58</f>
        <v>76.32000000000001</v>
      </c>
      <c r="H41" s="52">
        <f>ProductionSequence!O57+ProductionSequence!O58</f>
        <v>8.268</v>
      </c>
      <c r="I41" s="52">
        <f>ProductionSequence!P57+ProductionSequence!P58</f>
        <v>98.015414</v>
      </c>
      <c r="J41" s="51"/>
    </row>
    <row r="42" spans="1:10" s="60" customFormat="1" ht="12">
      <c r="A42" s="275" t="s">
        <v>2</v>
      </c>
      <c r="B42" s="51" t="s">
        <v>153</v>
      </c>
      <c r="C42" s="276"/>
      <c r="D42" s="276"/>
      <c r="E42" s="276"/>
      <c r="F42" s="52">
        <f>ProductionSequence!H60</f>
        <v>0</v>
      </c>
      <c r="G42" s="52">
        <f>ProductionSequence!L60</f>
        <v>0</v>
      </c>
      <c r="H42" s="52">
        <f>ProductionSequence!O60</f>
        <v>21.2</v>
      </c>
      <c r="I42" s="52">
        <f>ProductionSequence!P60</f>
        <v>21.2</v>
      </c>
      <c r="J42" s="278"/>
    </row>
    <row r="43" spans="1:10" ht="12">
      <c r="A43" s="275" t="s">
        <v>255</v>
      </c>
      <c r="B43" s="276"/>
      <c r="C43" s="276"/>
      <c r="D43" s="276"/>
      <c r="E43" s="276"/>
      <c r="F43" s="277">
        <f>ProductionSequence!H61</f>
        <v>42.25248066666667</v>
      </c>
      <c r="G43" s="277">
        <f>ProductionSequence!L61</f>
        <v>76.32000000000001</v>
      </c>
      <c r="H43" s="277">
        <f>ProductionSequence!O61</f>
        <v>50.968</v>
      </c>
      <c r="I43" s="277">
        <f>ProductionSequence!P61</f>
        <v>169.54048066666667</v>
      </c>
      <c r="J43" s="54"/>
    </row>
    <row r="44" spans="1:10" ht="12">
      <c r="A44" s="285" t="s">
        <v>258</v>
      </c>
      <c r="B44" s="284"/>
      <c r="C44" s="284"/>
      <c r="D44" s="284"/>
      <c r="E44" s="284"/>
      <c r="F44" s="287">
        <f>ProductionSequence!H62</f>
        <v>366.93288066666673</v>
      </c>
      <c r="G44" s="287">
        <f>ProductionSequence!L62</f>
        <v>76.32000000000009</v>
      </c>
      <c r="H44" s="287">
        <f>ProductionSequence!O62</f>
        <v>483.44800000000015</v>
      </c>
      <c r="I44" s="287">
        <f>ProductionSequence!P62</f>
        <v>926.7008806666662</v>
      </c>
      <c r="J44" s="54"/>
    </row>
    <row r="45" spans="1:10" ht="12">
      <c r="A45" s="275"/>
      <c r="B45" s="276"/>
      <c r="C45" s="276"/>
      <c r="D45" s="276"/>
      <c r="E45" s="276"/>
      <c r="F45" s="277"/>
      <c r="G45" s="277"/>
      <c r="H45" s="277"/>
      <c r="I45" s="277"/>
      <c r="J45" s="54"/>
    </row>
    <row r="46" spans="1:10" ht="12">
      <c r="A46" s="286" t="s">
        <v>259</v>
      </c>
      <c r="B46" s="276"/>
      <c r="C46" s="276"/>
      <c r="D46" s="276"/>
      <c r="E46" s="276"/>
      <c r="F46" s="277"/>
      <c r="G46" s="277"/>
      <c r="H46" s="277"/>
      <c r="I46" s="277"/>
      <c r="J46" s="53"/>
    </row>
    <row r="47" ht="12">
      <c r="A47" s="276" t="s">
        <v>1</v>
      </c>
    </row>
    <row r="48" spans="2:10" ht="12">
      <c r="B48" s="51" t="s">
        <v>159</v>
      </c>
      <c r="F48" s="52">
        <f>ProductionSequence!H66</f>
        <v>0</v>
      </c>
      <c r="G48" s="52">
        <f>ProductionSequence!L66</f>
        <v>0</v>
      </c>
      <c r="H48" s="52">
        <f>ProductionSequence!O66</f>
        <v>286.2</v>
      </c>
      <c r="I48" s="52">
        <f>ProductionSequence!P66</f>
        <v>286.2</v>
      </c>
      <c r="J48" s="54"/>
    </row>
    <row r="49" spans="2:10" ht="12">
      <c r="B49" s="51" t="s">
        <v>155</v>
      </c>
      <c r="F49" s="52">
        <f>ProductionSequence!H67</f>
        <v>0</v>
      </c>
      <c r="G49" s="52">
        <f>ProductionSequence!L67</f>
        <v>1258.4</v>
      </c>
      <c r="H49" s="52">
        <f>ProductionSequence!O67</f>
        <v>42.4</v>
      </c>
      <c r="I49" s="52">
        <f>ProductionSequence!P67</f>
        <v>1300.8000000000002</v>
      </c>
      <c r="J49" s="54"/>
    </row>
    <row r="50" spans="2:10" ht="12">
      <c r="B50" s="51" t="s">
        <v>156</v>
      </c>
      <c r="F50" s="52">
        <f>ProductionSequence!H68</f>
        <v>0.8529300000000001</v>
      </c>
      <c r="G50" s="52">
        <f>ProductionSequence!L68</f>
        <v>50</v>
      </c>
      <c r="H50" s="52">
        <f>ProductionSequence!O68</f>
        <v>21.2</v>
      </c>
      <c r="I50" s="52">
        <f>ProductionSequence!P68</f>
        <v>72.05293</v>
      </c>
      <c r="J50" s="54"/>
    </row>
    <row r="51" spans="1:10" ht="12">
      <c r="A51" s="275" t="s">
        <v>256</v>
      </c>
      <c r="B51" s="276"/>
      <c r="C51" s="276"/>
      <c r="D51" s="276"/>
      <c r="E51" s="276"/>
      <c r="F51" s="277">
        <f>ProductionSequence!H69</f>
        <v>0.8529300000000001</v>
      </c>
      <c r="G51" s="277">
        <f>ProductionSequence!L69</f>
        <v>1308.4</v>
      </c>
      <c r="H51" s="277">
        <f>ProductionSequence!O69</f>
        <v>349.79999999999995</v>
      </c>
      <c r="I51" s="277">
        <f>ProductionSequence!P69</f>
        <v>1659.0529300000003</v>
      </c>
      <c r="J51" s="54"/>
    </row>
    <row r="52" ht="12">
      <c r="A52" s="12" t="s">
        <v>28</v>
      </c>
    </row>
    <row r="53" spans="2:10" ht="12">
      <c r="B53" s="51" t="s">
        <v>158</v>
      </c>
      <c r="F53" s="52">
        <f>ProductionSequence!H71</f>
        <v>0</v>
      </c>
      <c r="G53" s="52">
        <f>ProductionSequence!L71</f>
        <v>0</v>
      </c>
      <c r="H53" s="52">
        <f>ProductionSequence!O71</f>
        <v>63.599999999999994</v>
      </c>
      <c r="I53" s="52">
        <f>ProductionSequence!P71</f>
        <v>63.599999999999994</v>
      </c>
      <c r="J53" s="54"/>
    </row>
    <row r="54" spans="2:10" ht="12">
      <c r="B54" s="51" t="s">
        <v>214</v>
      </c>
      <c r="F54" s="52">
        <f>ProductionSequence!H72</f>
        <v>0</v>
      </c>
      <c r="G54" s="52">
        <f>ProductionSequence!L72</f>
        <v>0</v>
      </c>
      <c r="H54" s="52">
        <f>ProductionSequence!O72</f>
        <v>466.4</v>
      </c>
      <c r="I54" s="52">
        <f>ProductionSequence!P72</f>
        <v>466.4</v>
      </c>
      <c r="J54" s="54"/>
    </row>
    <row r="55" spans="1:10" ht="12">
      <c r="A55" s="275" t="s">
        <v>257</v>
      </c>
      <c r="B55" s="276"/>
      <c r="C55" s="276"/>
      <c r="D55" s="276"/>
      <c r="E55" s="276"/>
      <c r="F55" s="277">
        <f>ProductionSequence!H73</f>
        <v>0</v>
      </c>
      <c r="G55" s="277">
        <f>ProductionSequence!L73</f>
        <v>0</v>
      </c>
      <c r="H55" s="277">
        <f>ProductionSequence!O73</f>
        <v>530</v>
      </c>
      <c r="I55" s="277">
        <f>ProductionSequence!P73</f>
        <v>530</v>
      </c>
      <c r="J55" s="54"/>
    </row>
    <row r="56" ht="12">
      <c r="A56" s="12" t="s">
        <v>27</v>
      </c>
    </row>
    <row r="57" spans="2:10" ht="12">
      <c r="B57" s="51" t="s">
        <v>162</v>
      </c>
      <c r="F57" s="52">
        <f>ProductionSequence!H75</f>
        <v>0</v>
      </c>
      <c r="G57" s="52">
        <f>ProductionSequence!L75</f>
        <v>0</v>
      </c>
      <c r="H57" s="52">
        <f>ProductionSequence!O75</f>
        <v>14</v>
      </c>
      <c r="I57" s="52">
        <f>ProductionSequence!P75</f>
        <v>14</v>
      </c>
      <c r="J57" s="54"/>
    </row>
    <row r="58" spans="2:10" ht="12">
      <c r="B58" s="119" t="s">
        <v>171</v>
      </c>
      <c r="F58" s="52">
        <f>ProductionSequence!H76</f>
        <v>0</v>
      </c>
      <c r="G58" s="52">
        <f>ProductionSequence!L76</f>
        <v>0</v>
      </c>
      <c r="H58" s="52">
        <f>ProductionSequence!O76</f>
        <v>63.599999999999994</v>
      </c>
      <c r="I58" s="52">
        <f>ProductionSequence!P76</f>
        <v>63.599999999999994</v>
      </c>
      <c r="J58" s="54"/>
    </row>
    <row r="59" spans="1:10" ht="12">
      <c r="A59" s="285" t="s">
        <v>260</v>
      </c>
      <c r="B59" s="284"/>
      <c r="C59" s="284"/>
      <c r="D59" s="284"/>
      <c r="E59" s="284"/>
      <c r="F59" s="287">
        <f>ProductionSequence!H77</f>
        <v>0.8529300000000001</v>
      </c>
      <c r="G59" s="287">
        <f>ProductionSequence!L77</f>
        <v>1308.4</v>
      </c>
      <c r="H59" s="287">
        <f>ProductionSequence!O77</f>
        <v>957.3999999999999</v>
      </c>
      <c r="I59" s="287">
        <f>ProductionSequence!P77</f>
        <v>2266.6529300000007</v>
      </c>
      <c r="J59" s="54"/>
    </row>
    <row r="60" ht="12">
      <c r="J60" s="47"/>
    </row>
    <row r="61" ht="12">
      <c r="A61" s="286" t="s">
        <v>261</v>
      </c>
    </row>
    <row r="62" spans="2:10" ht="12">
      <c r="B62" s="51" t="s">
        <v>164</v>
      </c>
      <c r="C62" s="51"/>
      <c r="F62" s="52">
        <f>ProductionSequence!H80</f>
        <v>0</v>
      </c>
      <c r="G62" s="52">
        <f>ProductionSequence!L80</f>
        <v>0</v>
      </c>
      <c r="H62" s="52">
        <f>ProductionSequence!O80</f>
        <v>159</v>
      </c>
      <c r="I62" s="52">
        <f>ProductionSequence!P80</f>
        <v>159</v>
      </c>
      <c r="J62" s="54"/>
    </row>
    <row r="63" spans="2:10" ht="12">
      <c r="B63" s="51" t="s">
        <v>162</v>
      </c>
      <c r="C63" s="51"/>
      <c r="F63" s="52">
        <f>ProductionSequence!H82</f>
        <v>0</v>
      </c>
      <c r="G63" s="52">
        <f>ProductionSequence!L82</f>
        <v>0</v>
      </c>
      <c r="H63" s="52">
        <f>ProductionSequence!O82</f>
        <v>14</v>
      </c>
      <c r="I63" s="52">
        <f>ProductionSequence!P82</f>
        <v>14</v>
      </c>
      <c r="J63" s="54"/>
    </row>
    <row r="64" spans="2:10" ht="12">
      <c r="B64" s="51" t="s">
        <v>215</v>
      </c>
      <c r="C64" s="51"/>
      <c r="F64" s="52">
        <f>ProductionSequence!H83</f>
        <v>0</v>
      </c>
      <c r="G64" s="52">
        <f>ProductionSequence!L83</f>
        <v>0</v>
      </c>
      <c r="H64" s="52">
        <f>ProductionSequence!O83</f>
        <v>63.599999999999994</v>
      </c>
      <c r="I64" s="52">
        <f>ProductionSequence!P83</f>
        <v>63.599999999999994</v>
      </c>
      <c r="J64" s="54"/>
    </row>
    <row r="65" spans="2:10" ht="12">
      <c r="B65" s="51" t="s">
        <v>328</v>
      </c>
      <c r="C65" s="51"/>
      <c r="F65" s="52">
        <f>ProductionSequence!H84+ProductionSequence!H85</f>
        <v>13.427414</v>
      </c>
      <c r="G65" s="52">
        <f>ProductionSequence!L84+ProductionSequence!L85</f>
        <v>76.32000000000001</v>
      </c>
      <c r="H65" s="52">
        <f>ProductionSequence!O84+ProductionSequence!O85</f>
        <v>8.268</v>
      </c>
      <c r="I65" s="52">
        <f>ProductionSequence!P84+ProductionSequence!P85</f>
        <v>98.015414</v>
      </c>
      <c r="J65" s="54"/>
    </row>
    <row r="66" spans="2:10" ht="12">
      <c r="B66" s="51" t="s">
        <v>355</v>
      </c>
      <c r="C66" s="51"/>
      <c r="F66" s="52">
        <f>ProductionSequence!H86+ProductionSequence!H87</f>
        <v>0</v>
      </c>
      <c r="G66" s="52">
        <f>ProductionSequence!L86+ProductionSequence!L87</f>
        <v>40</v>
      </c>
      <c r="H66" s="52">
        <f>ProductionSequence!O86+ProductionSequence!O87</f>
        <v>21.2</v>
      </c>
      <c r="I66" s="52">
        <f>ProductionSequence!P86+ProductionSequence!P87</f>
        <v>61.2</v>
      </c>
      <c r="J66" s="54"/>
    </row>
    <row r="67" spans="2:10" ht="12">
      <c r="B67" s="51" t="s">
        <v>165</v>
      </c>
      <c r="C67" s="51"/>
      <c r="F67" s="52">
        <f>ProductionSequence!H88</f>
        <v>0</v>
      </c>
      <c r="G67" s="52">
        <f>ProductionSequence!L88</f>
        <v>0</v>
      </c>
      <c r="H67" s="52">
        <f>ProductionSequence!O88</f>
        <v>63.599999999999994</v>
      </c>
      <c r="I67" s="52">
        <f>ProductionSequence!P88</f>
        <v>63.599999999999994</v>
      </c>
      <c r="J67" s="54"/>
    </row>
    <row r="68" spans="2:10" ht="12">
      <c r="B68" s="51" t="s">
        <v>166</v>
      </c>
      <c r="C68" s="51"/>
      <c r="F68" s="52">
        <f>ProductionSequence!H89</f>
        <v>0</v>
      </c>
      <c r="G68" s="52">
        <f>ProductionSequence!L89</f>
        <v>0</v>
      </c>
      <c r="H68" s="52">
        <f>ProductionSequence!O89</f>
        <v>7</v>
      </c>
      <c r="I68" s="52">
        <f>ProductionSequence!P89</f>
        <v>7</v>
      </c>
      <c r="J68" s="54"/>
    </row>
    <row r="69" spans="2:10" ht="12">
      <c r="B69" s="51" t="s">
        <v>351</v>
      </c>
      <c r="C69" s="51"/>
      <c r="F69" s="52">
        <f>ProductionSequence!H81</f>
        <v>2.32</v>
      </c>
      <c r="G69" s="52">
        <f>ProductionSequence!L81</f>
        <v>0</v>
      </c>
      <c r="H69" s="52">
        <f>ProductionSequence!O81</f>
        <v>25.439999999999998</v>
      </c>
      <c r="I69" s="52">
        <f>ProductionSequence!P81</f>
        <v>27.759999999999998</v>
      </c>
      <c r="J69" s="54"/>
    </row>
    <row r="70" spans="2:10" ht="12">
      <c r="B70" s="51" t="s">
        <v>167</v>
      </c>
      <c r="C70" s="51"/>
      <c r="F70" s="52">
        <f>ProductionSequence!H90</f>
        <v>0</v>
      </c>
      <c r="G70" s="52">
        <f>ProductionSequence!L90</f>
        <v>0</v>
      </c>
      <c r="H70" s="52">
        <f>ProductionSequence!O90</f>
        <v>14</v>
      </c>
      <c r="I70" s="52">
        <f>ProductionSequence!P90</f>
        <v>14</v>
      </c>
      <c r="J70" s="54"/>
    </row>
    <row r="71" spans="1:10" ht="12">
      <c r="A71" s="275" t="s">
        <v>262</v>
      </c>
      <c r="B71" s="276"/>
      <c r="C71" s="276"/>
      <c r="D71" s="276"/>
      <c r="E71" s="276"/>
      <c r="F71" s="277">
        <f>ProductionSequence!H91</f>
        <v>15.747414000000001</v>
      </c>
      <c r="G71" s="277">
        <f>ProductionSequence!L91</f>
        <v>116.32000000000001</v>
      </c>
      <c r="H71" s="277">
        <f>ProductionSequence!O91</f>
        <v>453.70799999999997</v>
      </c>
      <c r="I71" s="277">
        <f>ProductionSequence!P91</f>
        <v>585.7754140000001</v>
      </c>
      <c r="J71" s="54"/>
    </row>
    <row r="72" ht="12">
      <c r="A72" s="12" t="s">
        <v>29</v>
      </c>
    </row>
    <row r="73" spans="2:10" ht="12">
      <c r="B73" s="51" t="s">
        <v>263</v>
      </c>
      <c r="F73" s="52">
        <f>ProductionSequence!H93+ProductionSequence!H108</f>
        <v>0</v>
      </c>
      <c r="G73" s="52">
        <f>ProductionSequence!L93+ProductionSequence!L108</f>
        <v>14</v>
      </c>
      <c r="H73" s="52">
        <f>ProductionSequence!O93+ProductionSequence!O108</f>
        <v>10.6</v>
      </c>
      <c r="I73" s="52">
        <f>ProductionSequence!P93+ProductionSequence!P108</f>
        <v>24.6</v>
      </c>
      <c r="J73" s="54"/>
    </row>
    <row r="74" spans="2:10" ht="12">
      <c r="B74" s="51" t="s">
        <v>169</v>
      </c>
      <c r="F74" s="52">
        <f>ProductionSequence!H94</f>
        <v>0</v>
      </c>
      <c r="G74" s="52">
        <f>ProductionSequence!L94</f>
        <v>0</v>
      </c>
      <c r="H74" s="52">
        <f>ProductionSequence!O94</f>
        <v>106</v>
      </c>
      <c r="I74" s="52">
        <f>ProductionSequence!P94</f>
        <v>106</v>
      </c>
      <c r="J74" s="54"/>
    </row>
    <row r="75" spans="2:10" ht="12">
      <c r="B75" s="51" t="s">
        <v>271</v>
      </c>
      <c r="F75" s="52">
        <f>ProductionSequence!H96+ProductionSequence!H97+ProductionSequence!H98+ProductionSequence!H105+ProductionSequence!H106+ProductionSequence!H107+ProductionSequence!H114+ProductionSequence!H115+ProductionSequence!H116+ProductionSequence!H120+ProductionSequence!H121+ProductionSequence!H122</f>
        <v>61.0784</v>
      </c>
      <c r="G75" s="52">
        <f>ProductionSequence!L96+ProductionSequence!L97+ProductionSequence!L98+ProductionSequence!L105+ProductionSequence!L106+ProductionSequence!L107+ProductionSequence!L114+ProductionSequence!L115+ProductionSequence!L116+ProductionSequence!L120+ProductionSequence!L121+ProductionSequence!L122</f>
        <v>87.03999999999999</v>
      </c>
      <c r="H75" s="52">
        <f>ProductionSequence!O96+ProductionSequence!O97+ProductionSequence!O98+ProductionSequence!O105+ProductionSequence!O106+ProductionSequence!O107+ProductionSequence!O114+ProductionSequence!O115+ProductionSequence!O116+ProductionSequence!O120+ProductionSequence!O121+ProductionSequence!O122</f>
        <v>56</v>
      </c>
      <c r="I75" s="52">
        <f>ProductionSequence!P96+ProductionSequence!P97+ProductionSequence!P98+ProductionSequence!P105+ProductionSequence!P106+ProductionSequence!P107+ProductionSequence!P114+ProductionSequence!P115+ProductionSequence!P116+ProductionSequence!P120+ProductionSequence!P121+ProductionSequence!P122</f>
        <v>204.11839999999998</v>
      </c>
      <c r="J75" s="54"/>
    </row>
    <row r="76" spans="2:10" ht="12">
      <c r="B76" s="51" t="s">
        <v>264</v>
      </c>
      <c r="F76" s="52">
        <f>ProductionSequence!H99+ProductionSequence!H110</f>
        <v>0</v>
      </c>
      <c r="G76" s="52">
        <f>ProductionSequence!L99+ProductionSequence!L110</f>
        <v>0</v>
      </c>
      <c r="H76" s="52">
        <f>ProductionSequence!O99+ProductionSequence!O110</f>
        <v>127.19999999999999</v>
      </c>
      <c r="I76" s="52">
        <f>ProductionSequence!P99+ProductionSequence!P110</f>
        <v>127.19999999999999</v>
      </c>
      <c r="J76" s="54"/>
    </row>
    <row r="77" spans="2:10" ht="12">
      <c r="B77" s="51" t="s">
        <v>265</v>
      </c>
      <c r="F77" s="52">
        <f>ProductionSequence!H100+ProductionSequence!H111</f>
        <v>0</v>
      </c>
      <c r="G77" s="52">
        <f>ProductionSequence!L100+ProductionSequence!L111</f>
        <v>0</v>
      </c>
      <c r="H77" s="52">
        <f>ProductionSequence!O100+ProductionSequence!O111</f>
        <v>127.19999999999999</v>
      </c>
      <c r="I77" s="52">
        <f>ProductionSequence!P100+ProductionSequence!P111</f>
        <v>127.19999999999999</v>
      </c>
      <c r="J77" s="54"/>
    </row>
    <row r="78" spans="2:10" ht="12">
      <c r="B78" s="276" t="s">
        <v>266</v>
      </c>
      <c r="F78" s="52">
        <f>ProductionSequence!H101+ProductionSequence!H117</f>
        <v>0</v>
      </c>
      <c r="G78" s="52">
        <f>ProductionSequence!L101+ProductionSequence!L117</f>
        <v>0</v>
      </c>
      <c r="H78" s="52">
        <f>ProductionSequence!O101+ProductionSequence!O117</f>
        <v>28</v>
      </c>
      <c r="I78" s="52">
        <f>ProductionSequence!P101+ProductionSequence!P117</f>
        <v>28</v>
      </c>
      <c r="J78" s="54"/>
    </row>
    <row r="79" spans="2:10" ht="12">
      <c r="B79" s="51" t="s">
        <v>328</v>
      </c>
      <c r="F79" s="52">
        <f>ProductionSequence!H102+ProductionSequence!H103</f>
        <v>13.427414</v>
      </c>
      <c r="G79" s="52">
        <f>ProductionSequence!L102+ProductionSequence!L103</f>
        <v>76.32000000000001</v>
      </c>
      <c r="H79" s="52">
        <f>ProductionSequence!O102+ProductionSequence!O103</f>
        <v>8.268</v>
      </c>
      <c r="I79" s="52">
        <f>ProductionSequence!P102+ProductionSequence!P103</f>
        <v>98.015414</v>
      </c>
      <c r="J79" s="54"/>
    </row>
    <row r="80" spans="2:10" ht="12">
      <c r="B80" s="51" t="s">
        <v>355</v>
      </c>
      <c r="C80" s="51"/>
      <c r="F80" s="52">
        <f>ProductionSequence!H118+ProductionSequence!H119</f>
        <v>0</v>
      </c>
      <c r="G80" s="52">
        <f>ProductionSequence!L118+ProductionSequence!L119</f>
        <v>40</v>
      </c>
      <c r="H80" s="52">
        <f>ProductionSequence!O118+ProductionSequence!O119</f>
        <v>21.2</v>
      </c>
      <c r="I80" s="52">
        <f>ProductionSequence!P118+ProductionSequence!P119</f>
        <v>61.2</v>
      </c>
      <c r="J80" s="54"/>
    </row>
    <row r="81" spans="2:10" ht="12">
      <c r="B81" s="51" t="s">
        <v>267</v>
      </c>
      <c r="F81" s="52">
        <f>ProductionSequence!H104+ProductionSequence!H109</f>
        <v>258.58</v>
      </c>
      <c r="G81" s="52">
        <f>ProductionSequence!L104+ProductionSequence!L109</f>
        <v>0</v>
      </c>
      <c r="H81" s="52">
        <f>ProductionSequence!O104+ProductionSequence!O109</f>
        <v>140</v>
      </c>
      <c r="I81" s="52">
        <f>ProductionSequence!P104+ProductionSequence!P109</f>
        <v>398.58</v>
      </c>
      <c r="J81" s="54"/>
    </row>
    <row r="82" spans="2:10" ht="12">
      <c r="B82" s="51" t="s">
        <v>350</v>
      </c>
      <c r="F82" s="52">
        <f>ProductionSequence!H95+ProductionSequence!H112</f>
        <v>4.64</v>
      </c>
      <c r="G82" s="52">
        <f>ProductionSequence!L95+ProductionSequence!L112</f>
        <v>0</v>
      </c>
      <c r="H82" s="52">
        <f>ProductionSequence!O95+ProductionSequence!O112</f>
        <v>50.879999999999995</v>
      </c>
      <c r="I82" s="52">
        <f>ProductionSequence!P95+ProductionSequence!P112</f>
        <v>55.519999999999996</v>
      </c>
      <c r="J82" s="54"/>
    </row>
    <row r="83" spans="2:10" ht="12">
      <c r="B83" s="51" t="s">
        <v>206</v>
      </c>
      <c r="F83" s="52">
        <f>ProductionSequence!H113</f>
        <v>0</v>
      </c>
      <c r="G83" s="52">
        <f>ProductionSequence!L113</f>
        <v>35</v>
      </c>
      <c r="H83" s="52">
        <f>ProductionSequence!O113</f>
        <v>0</v>
      </c>
      <c r="I83" s="52">
        <f>ProductionSequence!P113</f>
        <v>35</v>
      </c>
      <c r="J83" s="54"/>
    </row>
    <row r="84" spans="1:10" ht="12">
      <c r="A84" s="275" t="s">
        <v>268</v>
      </c>
      <c r="B84" s="276"/>
      <c r="C84" s="276"/>
      <c r="D84" s="276"/>
      <c r="E84" s="276"/>
      <c r="F84" s="277">
        <f>ProductionSequence!H123</f>
        <v>337.725814</v>
      </c>
      <c r="G84" s="277">
        <f>ProductionSequence!L123</f>
        <v>252.35999999999999</v>
      </c>
      <c r="H84" s="277">
        <f>ProductionSequence!O123</f>
        <v>675.348</v>
      </c>
      <c r="I84" s="277">
        <f>ProductionSequence!P123</f>
        <v>1265.433814</v>
      </c>
      <c r="J84" s="54"/>
    </row>
    <row r="85" spans="1:2" ht="12">
      <c r="A85" s="12" t="s">
        <v>25</v>
      </c>
      <c r="B85" s="51"/>
    </row>
    <row r="86" spans="2:10" ht="12">
      <c r="B86" s="51" t="s">
        <v>267</v>
      </c>
      <c r="F86" s="52">
        <f>ProductionSequence!H125+ProductionSequence!H131</f>
        <v>181.00599999999997</v>
      </c>
      <c r="G86" s="52">
        <f>ProductionSequence!L125+ProductionSequence!L131</f>
        <v>0</v>
      </c>
      <c r="H86" s="52">
        <f>ProductionSequence!O125+ProductionSequence!O131</f>
        <v>98</v>
      </c>
      <c r="I86" s="52">
        <f>ProductionSequence!P125+ProductionSequence!P131</f>
        <v>279.006</v>
      </c>
      <c r="J86" s="54"/>
    </row>
    <row r="87" spans="2:10" ht="12">
      <c r="B87" s="51" t="s">
        <v>272</v>
      </c>
      <c r="F87" s="52">
        <f>ProductionSequence!H127+ProductionSequence!H128+ProductionSequence!H129+ProductionSequence!H136+ProductionSequence!H137+ProductionSequence!H138+ProductionSequence!H140+ProductionSequence!H141</f>
        <v>45.808800000000005</v>
      </c>
      <c r="G87" s="52">
        <f>ProductionSequence!L127+ProductionSequence!L128+ProductionSequence!L129+ProductionSequence!L136+ProductionSequence!L137+ProductionSequence!L138+ProductionSequence!L140+ProductionSequence!L141</f>
        <v>213.76000000000002</v>
      </c>
      <c r="H87" s="52">
        <f>ProductionSequence!O127+ProductionSequence!O128+ProductionSequence!O129+ProductionSequence!O136+ProductionSequence!O137+ProductionSequence!O138+ProductionSequence!O140+ProductionSequence!O141</f>
        <v>42</v>
      </c>
      <c r="I87" s="52">
        <f>ProductionSequence!P127+ProductionSequence!P128+ProductionSequence!P129+ProductionSequence!P136+ProductionSequence!P137+ProductionSequence!P138+ProductionSequence!P140+ProductionSequence!P141</f>
        <v>301.5688</v>
      </c>
      <c r="J87" s="54"/>
    </row>
    <row r="88" spans="2:10" ht="12">
      <c r="B88" s="51" t="s">
        <v>151</v>
      </c>
      <c r="F88" s="52">
        <f>ProductionSequence!H130</f>
        <v>0</v>
      </c>
      <c r="G88" s="52">
        <f>ProductionSequence!L130</f>
        <v>7</v>
      </c>
      <c r="H88" s="52">
        <f>ProductionSequence!O130</f>
        <v>5.3</v>
      </c>
      <c r="I88" s="52">
        <f>ProductionSequence!P130</f>
        <v>12.3</v>
      </c>
      <c r="J88" s="54"/>
    </row>
    <row r="89" spans="2:10" ht="12">
      <c r="B89" s="51" t="s">
        <v>350</v>
      </c>
      <c r="F89" s="52">
        <f>ProductionSequence!H126+ProductionSequence!H139</f>
        <v>4.64</v>
      </c>
      <c r="G89" s="52">
        <f>ProductionSequence!L126+ProductionSequence!L139</f>
        <v>0</v>
      </c>
      <c r="H89" s="52">
        <f>ProductionSequence!O126+ProductionSequence!O139</f>
        <v>50.879999999999995</v>
      </c>
      <c r="I89" s="52">
        <f>ProductionSequence!P126+ProductionSequence!P139</f>
        <v>55.519999999999996</v>
      </c>
      <c r="J89" s="54"/>
    </row>
    <row r="90" spans="2:10" ht="12">
      <c r="B90" s="51" t="s">
        <v>328</v>
      </c>
      <c r="F90" s="52">
        <f>ProductionSequence!H132+ProductionSequence!H133</f>
        <v>13.427414</v>
      </c>
      <c r="G90" s="52">
        <f>ProductionSequence!L132+ProductionSequence!L133</f>
        <v>76.32000000000001</v>
      </c>
      <c r="H90" s="52">
        <f>ProductionSequence!O132+ProductionSequence!O133</f>
        <v>8.268</v>
      </c>
      <c r="I90" s="52">
        <f>ProductionSequence!P132+ProductionSequence!P133</f>
        <v>98.015414</v>
      </c>
      <c r="J90" s="54"/>
    </row>
    <row r="91" spans="2:10" ht="12">
      <c r="B91" s="51" t="s">
        <v>365</v>
      </c>
      <c r="F91" s="52">
        <f>ProductionSequence!H134+ProductionSequence!H135</f>
        <v>13.427414</v>
      </c>
      <c r="G91" s="52">
        <f>ProductionSequence!L134+ProductionSequence!L135</f>
        <v>54</v>
      </c>
      <c r="H91" s="52">
        <f>ProductionSequence!O134+ProductionSequence!O135</f>
        <v>8.268</v>
      </c>
      <c r="I91" s="52">
        <f>ProductionSequence!P134+ProductionSequence!P135</f>
        <v>75.695414</v>
      </c>
      <c r="J91" s="54"/>
    </row>
    <row r="92" spans="1:10" ht="12">
      <c r="A92" s="285" t="s">
        <v>269</v>
      </c>
      <c r="B92" s="284"/>
      <c r="C92" s="284"/>
      <c r="D92" s="284"/>
      <c r="E92" s="284"/>
      <c r="F92" s="287">
        <f>ProductionSequence!H142</f>
        <v>611.782856</v>
      </c>
      <c r="G92" s="287">
        <f>ProductionSequence!L142</f>
        <v>719.76</v>
      </c>
      <c r="H92" s="287">
        <f>ProductionSequence!O142</f>
        <v>1264.172</v>
      </c>
      <c r="I92" s="287">
        <f>ProductionSequence!P142</f>
        <v>2595.714855999999</v>
      </c>
      <c r="J92" s="54"/>
    </row>
    <row r="93" ht="12">
      <c r="J93" s="47"/>
    </row>
    <row r="94" ht="12">
      <c r="A94" s="286" t="s">
        <v>270</v>
      </c>
    </row>
    <row r="95" spans="2:10" ht="12">
      <c r="B95" s="51" t="s">
        <v>209</v>
      </c>
      <c r="F95" s="52">
        <f>ProductionSequence!H145+ProductionSequence!H148</f>
        <v>0</v>
      </c>
      <c r="G95" s="52">
        <f>ProductionSequence!L145+ProductionSequence!L148</f>
        <v>0</v>
      </c>
      <c r="H95" s="52">
        <f>ProductionSequence!O145+ProductionSequence!O148</f>
        <v>148.39999999999998</v>
      </c>
      <c r="I95" s="52">
        <f>ProductionSequence!P145+ProductionSequence!P148</f>
        <v>148.39999999999998</v>
      </c>
      <c r="J95" s="54"/>
    </row>
    <row r="96" spans="2:10" ht="12">
      <c r="B96" s="51" t="s">
        <v>210</v>
      </c>
      <c r="F96" s="52">
        <f>ProductionSequence!H146+ProductionSequence!H149</f>
        <v>0</v>
      </c>
      <c r="G96" s="52">
        <f>ProductionSequence!L146+ProductionSequence!L149</f>
        <v>440.625</v>
      </c>
      <c r="H96" s="52">
        <f>ProductionSequence!O146+ProductionSequence!O149</f>
        <v>148.39999999999998</v>
      </c>
      <c r="I96" s="52">
        <f>ProductionSequence!P146+ProductionSequence!P149</f>
        <v>589.025</v>
      </c>
      <c r="J96" s="54"/>
    </row>
    <row r="97" spans="2:10" ht="12">
      <c r="B97" s="51" t="s">
        <v>176</v>
      </c>
      <c r="F97" s="52">
        <f>ProductionSequence!H147+ProductionSequence!H150</f>
        <v>0</v>
      </c>
      <c r="G97" s="52">
        <f>ProductionSequence!L147+ProductionSequence!L150</f>
        <v>0</v>
      </c>
      <c r="H97" s="52">
        <f>ProductionSequence!O147+ProductionSequence!O150</f>
        <v>405.375</v>
      </c>
      <c r="I97" s="52">
        <f>ProductionSequence!P147+ProductionSequence!P150</f>
        <v>405.375</v>
      </c>
      <c r="J97" s="54"/>
    </row>
    <row r="98" spans="2:10" ht="12">
      <c r="B98" s="51" t="s">
        <v>273</v>
      </c>
      <c r="F98" s="52">
        <f>ProductionSequence!H151</f>
        <v>14.412533333333334</v>
      </c>
      <c r="G98" s="52">
        <f>ProductionSequence!L151</f>
        <v>0</v>
      </c>
      <c r="H98" s="52">
        <f>ProductionSequence!O151</f>
        <v>2.8000000000000003</v>
      </c>
      <c r="I98" s="52">
        <f>ProductionSequence!P151</f>
        <v>17.212533333333333</v>
      </c>
      <c r="J98" s="54"/>
    </row>
    <row r="99" spans="2:10" ht="12">
      <c r="B99" s="51" t="s">
        <v>328</v>
      </c>
      <c r="F99" s="52">
        <f>ProductionSequence!H154+ProductionSequence!H155</f>
        <v>13.427414</v>
      </c>
      <c r="G99" s="52">
        <f>ProductionSequence!L154+ProductionSequence!L155</f>
        <v>76.32000000000001</v>
      </c>
      <c r="H99" s="52">
        <f>ProductionSequence!O154+ProductionSequence!O155</f>
        <v>8.268</v>
      </c>
      <c r="I99" s="52">
        <f>ProductionSequence!P154+ProductionSequence!P155</f>
        <v>98.015414</v>
      </c>
      <c r="J99" s="54"/>
    </row>
    <row r="100" spans="2:10" ht="12">
      <c r="B100" s="51" t="s">
        <v>365</v>
      </c>
      <c r="F100" s="52">
        <f>ProductionSequence!H156+ProductionSequence!H157</f>
        <v>13.427414</v>
      </c>
      <c r="G100" s="52">
        <f>ProductionSequence!L156+ProductionSequence!L157</f>
        <v>54</v>
      </c>
      <c r="H100" s="52">
        <f>ProductionSequence!O156+ProductionSequence!O157</f>
        <v>8.268</v>
      </c>
      <c r="I100" s="52">
        <f>ProductionSequence!P156+ProductionSequence!P157</f>
        <v>75.695414</v>
      </c>
      <c r="J100" s="54"/>
    </row>
    <row r="101" spans="2:10" ht="12">
      <c r="B101" s="51" t="s">
        <v>355</v>
      </c>
      <c r="C101" s="51"/>
      <c r="F101" s="52">
        <f>ProductionSequence!H152+ProductionSequence!H153</f>
        <v>0</v>
      </c>
      <c r="G101" s="52">
        <f>ProductionSequence!L152+ProductionSequence!L153</f>
        <v>40</v>
      </c>
      <c r="H101" s="52">
        <f>ProductionSequence!O152+ProductionSequence!O153</f>
        <v>21.2</v>
      </c>
      <c r="I101" s="52">
        <f>ProductionSequence!P152+ProductionSequence!P153</f>
        <v>61.2</v>
      </c>
      <c r="J101" s="54"/>
    </row>
    <row r="102" spans="2:10" ht="12">
      <c r="B102" s="51" t="s">
        <v>274</v>
      </c>
      <c r="F102" s="52">
        <f>ProductionSequence!H158+ProductionSequence!H159</f>
        <v>15.2696</v>
      </c>
      <c r="G102" s="52">
        <f>ProductionSequence!L158+ProductionSequence!L159</f>
        <v>170.24</v>
      </c>
      <c r="H102" s="52">
        <f>ProductionSequence!O158+ProductionSequence!O159</f>
        <v>14</v>
      </c>
      <c r="I102" s="52">
        <f>ProductionSequence!P158+ProductionSequence!P159</f>
        <v>199.5096</v>
      </c>
      <c r="J102" s="54"/>
    </row>
    <row r="103" spans="1:10" ht="12">
      <c r="A103" s="275" t="s">
        <v>275</v>
      </c>
      <c r="B103" s="276"/>
      <c r="C103" s="276"/>
      <c r="D103" s="276"/>
      <c r="E103" s="276"/>
      <c r="F103" s="277">
        <f>ProductionSequence!H160</f>
        <v>314.8465893333333</v>
      </c>
      <c r="G103" s="277">
        <f>ProductionSequence!L160</f>
        <v>1132.265</v>
      </c>
      <c r="H103" s="277">
        <f>ProductionSequence!O160</f>
        <v>969.4269999999997</v>
      </c>
      <c r="I103" s="277">
        <f>ProductionSequence!P160</f>
        <v>2416.538589333332</v>
      </c>
      <c r="J103" s="54"/>
    </row>
    <row r="104" spans="1:10" ht="12">
      <c r="A104" s="12" t="s">
        <v>17</v>
      </c>
      <c r="B104" s="51"/>
      <c r="J104" s="47"/>
    </row>
    <row r="105" spans="2:10" ht="12">
      <c r="B105" s="51" t="s">
        <v>151</v>
      </c>
      <c r="F105" s="52">
        <f>ProductionSequence!H162</f>
        <v>0</v>
      </c>
      <c r="G105" s="52">
        <f>ProductionSequence!L162</f>
        <v>7</v>
      </c>
      <c r="H105" s="52">
        <f>ProductionSequence!O162</f>
        <v>5.3</v>
      </c>
      <c r="I105" s="52">
        <f>ProductionSequence!P162</f>
        <v>12.3</v>
      </c>
      <c r="J105" s="53"/>
    </row>
    <row r="106" spans="2:10" ht="12">
      <c r="B106" s="51" t="s">
        <v>350</v>
      </c>
      <c r="F106" s="52">
        <f>ProductionSequence!H163+ProductionSequence!H183</f>
        <v>4.64</v>
      </c>
      <c r="G106" s="52">
        <f>ProductionSequence!L163+ProductionSequence!L183</f>
        <v>0</v>
      </c>
      <c r="H106" s="52">
        <f>ProductionSequence!O163+ProductionSequence!O183</f>
        <v>50.879999999999995</v>
      </c>
      <c r="I106" s="52">
        <f>ProductionSequence!P163+ProductionSequence!P183</f>
        <v>55.519999999999996</v>
      </c>
      <c r="J106" s="53"/>
    </row>
    <row r="107" spans="2:10" ht="12">
      <c r="B107" s="51" t="s">
        <v>276</v>
      </c>
      <c r="F107" s="52">
        <f>ProductionSequence!H164+ProductionSequence!H165+ProductionSequence!H174+ProductionSequence!H175</f>
        <v>30.5392</v>
      </c>
      <c r="G107" s="52">
        <f>ProductionSequence!L164+ProductionSequence!L165+ProductionSequence!L174+ProductionSequence!L175</f>
        <v>340.48</v>
      </c>
      <c r="H107" s="52">
        <f>ProductionSequence!O164+ProductionSequence!O165+ProductionSequence!O174+ProductionSequence!O175</f>
        <v>28</v>
      </c>
      <c r="I107" s="52">
        <f>ProductionSequence!P164+ProductionSequence!P165+ProductionSequence!P174+ProductionSequence!P175</f>
        <v>399.0192</v>
      </c>
      <c r="J107" s="53"/>
    </row>
    <row r="108" spans="2:10" ht="12">
      <c r="B108" s="51" t="s">
        <v>277</v>
      </c>
      <c r="F108" s="52">
        <f>ProductionSequence!H166+ProductionSequence!H176+ProductionSequence!H182+ProductionSequence!H187</f>
        <v>86.4752</v>
      </c>
      <c r="G108" s="52">
        <f>ProductionSequence!L166+ProductionSequence!L176+ProductionSequence!L182+ProductionSequence!L187</f>
        <v>0</v>
      </c>
      <c r="H108" s="52">
        <f>ProductionSequence!O166+ProductionSequence!O176+ProductionSequence!O182+ProductionSequence!O187</f>
        <v>16.8</v>
      </c>
      <c r="I108" s="52">
        <f>ProductionSequence!P166+ProductionSequence!P176+ProductionSequence!P182+ProductionSequence!P187</f>
        <v>103.2752</v>
      </c>
      <c r="J108" s="53"/>
    </row>
    <row r="109" spans="2:10" ht="12">
      <c r="B109" s="51" t="s">
        <v>328</v>
      </c>
      <c r="F109" s="52">
        <f>ProductionSequence!H167+ProductionSequence!H168</f>
        <v>13.427414</v>
      </c>
      <c r="G109" s="52">
        <f>ProductionSequence!L167+ProductionSequence!L168</f>
        <v>76.32000000000001</v>
      </c>
      <c r="H109" s="52">
        <f>ProductionSequence!O167+ProductionSequence!O168</f>
        <v>8.268</v>
      </c>
      <c r="I109" s="52">
        <f>ProductionSequence!P167+ProductionSequence!P168</f>
        <v>98.015414</v>
      </c>
      <c r="J109" s="53"/>
    </row>
    <row r="110" spans="2:10" ht="12">
      <c r="B110" s="51" t="s">
        <v>368</v>
      </c>
      <c r="F110" s="52">
        <f>ProductionSequence!H169+ProductionSequence!H170+ProductionSequence!H180+ProductionSequence!H181</f>
        <v>26.854828</v>
      </c>
      <c r="G110" s="52">
        <f>ProductionSequence!L169+ProductionSequence!L170+ProductionSequence!L180+ProductionSequence!L181</f>
        <v>108</v>
      </c>
      <c r="H110" s="52">
        <f>ProductionSequence!O169+ProductionSequence!O170+ProductionSequence!O180+ProductionSequence!O181</f>
        <v>16.536</v>
      </c>
      <c r="I110" s="52">
        <f>ProductionSequence!P169+ProductionSequence!P170+ProductionSequence!P180+ProductionSequence!P181</f>
        <v>151.390828</v>
      </c>
      <c r="J110" s="53"/>
    </row>
    <row r="111" spans="2:10" ht="12">
      <c r="B111" s="51" t="s">
        <v>209</v>
      </c>
      <c r="F111" s="52">
        <f>ProductionSequence!H171+ProductionSequence!H177+ProductionSequence!H184+ProductionSequence!H188</f>
        <v>0</v>
      </c>
      <c r="G111" s="52">
        <f>ProductionSequence!L171+ProductionSequence!L177+ProductionSequence!L184+ProductionSequence!L188</f>
        <v>0</v>
      </c>
      <c r="H111" s="52">
        <f>ProductionSequence!O171+ProductionSequence!O177+ProductionSequence!O184+ProductionSequence!O188</f>
        <v>402.79999999999995</v>
      </c>
      <c r="I111" s="52">
        <f>ProductionSequence!P171+ProductionSequence!P177+ProductionSequence!P184+ProductionSequence!P188</f>
        <v>402.79999999999995</v>
      </c>
      <c r="J111" s="53"/>
    </row>
    <row r="112" spans="2:10" ht="12">
      <c r="B112" s="51" t="s">
        <v>210</v>
      </c>
      <c r="F112" s="52">
        <f>ProductionSequence!H172+ProductionSequence!H178+ProductionSequence!H185+ProductionSequence!H189</f>
        <v>0</v>
      </c>
      <c r="G112" s="52">
        <f>ProductionSequence!L172+ProductionSequence!L178+ProductionSequence!L185+ProductionSequence!L189</f>
        <v>1321.875</v>
      </c>
      <c r="H112" s="52">
        <f>ProductionSequence!O172+ProductionSequence!O178+ProductionSequence!O185+ProductionSequence!O189</f>
        <v>402.79999999999995</v>
      </c>
      <c r="I112" s="52">
        <f>ProductionSequence!P172+ProductionSequence!P178+ProductionSequence!P185+ProductionSequence!P189</f>
        <v>1724.6750000000002</v>
      </c>
      <c r="J112" s="53"/>
    </row>
    <row r="113" spans="2:10" ht="12">
      <c r="B113" s="51" t="s">
        <v>176</v>
      </c>
      <c r="F113" s="52">
        <f>ProductionSequence!H173+ProductionSequence!H179+ProductionSequence!H186+ProductionSequence!H190</f>
        <v>0</v>
      </c>
      <c r="G113" s="52">
        <f>ProductionSequence!L173+ProductionSequence!L179+ProductionSequence!L186+ProductionSequence!L190</f>
        <v>0</v>
      </c>
      <c r="H113" s="52">
        <f>ProductionSequence!O173+ProductionSequence!O179+ProductionSequence!O186+ProductionSequence!O190</f>
        <v>1216.125</v>
      </c>
      <c r="I113" s="52">
        <f>ProductionSequence!P173+ProductionSequence!P179+ProductionSequence!P186+ProductionSequence!P190</f>
        <v>1216.125</v>
      </c>
      <c r="J113" s="53"/>
    </row>
    <row r="114" spans="2:10" ht="12">
      <c r="B114" s="51" t="s">
        <v>180</v>
      </c>
      <c r="F114" s="52">
        <f>ProductionSequence!H191</f>
        <v>0</v>
      </c>
      <c r="G114" s="52">
        <f>ProductionSequence!L191</f>
        <v>0</v>
      </c>
      <c r="H114" s="52">
        <f>ProductionSequence!O191</f>
        <v>63.599999999999994</v>
      </c>
      <c r="I114" s="52">
        <f>ProductionSequence!P191</f>
        <v>63.599999999999994</v>
      </c>
      <c r="J114" s="53"/>
    </row>
    <row r="115" spans="1:10" ht="12">
      <c r="A115" s="275" t="s">
        <v>278</v>
      </c>
      <c r="B115" s="276"/>
      <c r="C115" s="276"/>
      <c r="D115" s="276"/>
      <c r="E115" s="276"/>
      <c r="F115" s="277">
        <f>ProductionSequence!H192</f>
        <v>161.93664199999998</v>
      </c>
      <c r="G115" s="277">
        <f>ProductionSequence!L192</f>
        <v>1853.675</v>
      </c>
      <c r="H115" s="277">
        <f>ProductionSequence!O192</f>
        <v>2211.1089999999995</v>
      </c>
      <c r="I115" s="277">
        <f>ProductionSequence!P192</f>
        <v>4226.720642</v>
      </c>
      <c r="J115" s="54"/>
    </row>
    <row r="116" spans="1:10" ht="12">
      <c r="A116" s="285" t="s">
        <v>279</v>
      </c>
      <c r="B116" s="284"/>
      <c r="C116" s="284"/>
      <c r="D116" s="284"/>
      <c r="E116" s="284"/>
      <c r="F116" s="287">
        <f>ProductionSequence!H193</f>
        <v>218.47360333333336</v>
      </c>
      <c r="G116" s="287">
        <f>ProductionSequence!L193</f>
        <v>2634.8600000000006</v>
      </c>
      <c r="H116" s="287">
        <f>ProductionSequence!O193</f>
        <v>2967.819999999999</v>
      </c>
      <c r="I116" s="287">
        <f>ProductionSequence!P193</f>
        <v>5821.153603333334</v>
      </c>
      <c r="J116" s="54"/>
    </row>
    <row r="117" spans="1:10" ht="12">
      <c r="A117" s="290" t="s">
        <v>280</v>
      </c>
      <c r="B117" s="291"/>
      <c r="C117" s="291"/>
      <c r="D117" s="291"/>
      <c r="E117" s="291"/>
      <c r="F117" s="292">
        <f>ProductionSequence!H194</f>
        <v>1699.257935</v>
      </c>
      <c r="G117" s="292">
        <f>ProductionSequence!L194</f>
        <v>9736.980000000001</v>
      </c>
      <c r="H117" s="292">
        <f>ProductionSequence!O194</f>
        <v>7118.348749999998</v>
      </c>
      <c r="I117" s="292">
        <f>ProductionSequence!P194</f>
        <v>18554.586685000002</v>
      </c>
      <c r="J117" s="54"/>
    </row>
    <row r="118" spans="1:10" ht="12">
      <c r="A118" s="295"/>
      <c r="B118" s="120"/>
      <c r="C118" s="120"/>
      <c r="D118" s="120"/>
      <c r="E118" s="120"/>
      <c r="F118" s="296"/>
      <c r="G118" s="296"/>
      <c r="H118" s="296"/>
      <c r="I118" s="296"/>
      <c r="J118" s="29"/>
    </row>
    <row r="119" ht="12">
      <c r="A119" s="297" t="s">
        <v>281</v>
      </c>
    </row>
    <row r="120" spans="2:10" ht="12">
      <c r="B120" s="340" t="s">
        <v>19</v>
      </c>
      <c r="I120" s="52">
        <f>ProductionSequence!P196</f>
        <v>16</v>
      </c>
      <c r="J120" s="53"/>
    </row>
    <row r="121" spans="2:10" ht="12">
      <c r="B121" s="340" t="s">
        <v>20</v>
      </c>
      <c r="I121" s="52">
        <f>ProductionSequence!P197</f>
        <v>100</v>
      </c>
      <c r="J121" s="53"/>
    </row>
    <row r="122" spans="2:10" ht="12">
      <c r="B122" s="340" t="s">
        <v>22</v>
      </c>
      <c r="I122" s="52">
        <f>ProductionSequence!P198</f>
        <v>25</v>
      </c>
      <c r="J122" s="53"/>
    </row>
    <row r="123" spans="2:10" ht="12">
      <c r="B123" s="340" t="s">
        <v>357</v>
      </c>
      <c r="I123" s="52">
        <f>ProductionSequence!P199</f>
        <v>2000</v>
      </c>
      <c r="J123" s="53"/>
    </row>
    <row r="124" spans="2:10" ht="12">
      <c r="B124" s="340" t="s">
        <v>362</v>
      </c>
      <c r="I124" s="52">
        <f>ProductionSequence!P200</f>
        <v>1000</v>
      </c>
      <c r="J124" s="53"/>
    </row>
    <row r="125" spans="2:10" ht="12">
      <c r="B125" s="340" t="s">
        <v>363</v>
      </c>
      <c r="I125" s="52">
        <f>ProductionSequence!P201</f>
        <v>1680</v>
      </c>
      <c r="J125" s="53"/>
    </row>
    <row r="126" spans="2:10" ht="12">
      <c r="B126" s="161" t="s">
        <v>333</v>
      </c>
      <c r="I126" s="52">
        <f>ProductionSequence!P202</f>
        <v>0</v>
      </c>
      <c r="J126" s="53"/>
    </row>
    <row r="127" spans="1:10" ht="12">
      <c r="A127" s="298" t="s">
        <v>282</v>
      </c>
      <c r="B127" s="299"/>
      <c r="C127" s="299"/>
      <c r="D127" s="299"/>
      <c r="E127" s="299"/>
      <c r="F127" s="299"/>
      <c r="G127" s="299"/>
      <c r="H127" s="299"/>
      <c r="I127" s="332">
        <f>ProductionSequence!P203</f>
        <v>4821</v>
      </c>
      <c r="J127" s="54"/>
    </row>
    <row r="128" spans="1:10" ht="12">
      <c r="A128" s="290" t="s">
        <v>352</v>
      </c>
      <c r="B128" s="291"/>
      <c r="C128" s="291"/>
      <c r="D128" s="291"/>
      <c r="E128" s="291"/>
      <c r="F128" s="292">
        <f>F117</f>
        <v>1699.257935</v>
      </c>
      <c r="G128" s="292">
        <f>G117</f>
        <v>9736.980000000001</v>
      </c>
      <c r="H128" s="292">
        <f>H117</f>
        <v>7118.348749999998</v>
      </c>
      <c r="I128" s="292">
        <f>I117+I127</f>
        <v>23375.586685000002</v>
      </c>
      <c r="J128" s="54"/>
    </row>
  </sheetData>
  <sheetProtection password="ECAF" sheet="1" selectLockedCells="1"/>
  <mergeCells count="1">
    <mergeCell ref="A1:J1"/>
  </mergeCells>
  <printOptions/>
  <pageMargins left="1" right="0"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rgb="FF7030A0"/>
  </sheetPr>
  <dimension ref="A1:T35"/>
  <sheetViews>
    <sheetView showGridLines="0" workbookViewId="0" topLeftCell="A1">
      <selection activeCell="A1" sqref="A1:J32"/>
    </sheetView>
  </sheetViews>
  <sheetFormatPr defaultColWidth="8.8515625" defaultRowHeight="12.75"/>
  <cols>
    <col min="1" max="1" width="19.00390625" style="0" customWidth="1"/>
    <col min="2" max="2" width="17.7109375" style="0" customWidth="1"/>
    <col min="3" max="3" width="13.421875" style="0" customWidth="1"/>
    <col min="4" max="4" width="15.28125" style="0" customWidth="1"/>
    <col min="5" max="5" width="17.421875" style="0" customWidth="1"/>
    <col min="6" max="6" width="11.00390625" style="0" customWidth="1"/>
    <col min="7" max="7" width="3.28125" style="0" customWidth="1"/>
    <col min="8" max="8" width="17.00390625" style="0" customWidth="1"/>
    <col min="9" max="9" width="14.421875" style="0" customWidth="1"/>
    <col min="10" max="10" width="13.8515625" style="0" customWidth="1"/>
    <col min="11" max="11" width="2.7109375" style="0" customWidth="1"/>
    <col min="12" max="12" width="19.421875" style="0" customWidth="1"/>
    <col min="13" max="13" width="12.28125" style="0" customWidth="1"/>
    <col min="14" max="14" width="12.00390625" style="0" customWidth="1"/>
    <col min="15" max="18" width="13.140625" style="0" customWidth="1"/>
    <col min="19" max="19" width="13.28125" style="0" customWidth="1"/>
    <col min="20" max="20" width="10.8515625" style="0" customWidth="1"/>
  </cols>
  <sheetData>
    <row r="1" spans="1:20" ht="15">
      <c r="A1" s="300" t="s">
        <v>293</v>
      </c>
      <c r="G1" s="2"/>
      <c r="H1" s="26" t="s">
        <v>65</v>
      </c>
      <c r="I1" s="1"/>
      <c r="L1" s="166"/>
      <c r="M1" s="60"/>
      <c r="N1" s="60"/>
      <c r="O1" s="60"/>
      <c r="P1" s="60"/>
      <c r="Q1" s="60"/>
      <c r="R1" s="60"/>
      <c r="S1" s="60"/>
      <c r="T1" s="60"/>
    </row>
    <row r="2" spans="1:20" ht="15">
      <c r="A2" s="63" t="s">
        <v>3</v>
      </c>
      <c r="B2" s="125" t="s">
        <v>36</v>
      </c>
      <c r="C2" s="125" t="s">
        <v>40</v>
      </c>
      <c r="D2" s="125" t="s">
        <v>38</v>
      </c>
      <c r="E2" s="125" t="s">
        <v>39</v>
      </c>
      <c r="F2" s="125" t="s">
        <v>120</v>
      </c>
      <c r="G2" s="34"/>
      <c r="H2" s="63" t="s">
        <v>3</v>
      </c>
      <c r="I2" s="125" t="s">
        <v>38</v>
      </c>
      <c r="J2" s="125" t="s">
        <v>120</v>
      </c>
      <c r="L2" s="166"/>
      <c r="M2" s="341"/>
      <c r="N2" s="341"/>
      <c r="O2" s="341"/>
      <c r="P2" s="341"/>
      <c r="Q2" s="341"/>
      <c r="R2" s="341"/>
      <c r="S2" s="341"/>
      <c r="T2" s="341"/>
    </row>
    <row r="3" spans="1:20" ht="15">
      <c r="A3" s="63" t="s">
        <v>2</v>
      </c>
      <c r="B3" s="125" t="s">
        <v>2</v>
      </c>
      <c r="C3" s="125" t="s">
        <v>2</v>
      </c>
      <c r="D3" s="125" t="s">
        <v>2</v>
      </c>
      <c r="E3" s="125" t="s">
        <v>63</v>
      </c>
      <c r="F3" s="125" t="s">
        <v>39</v>
      </c>
      <c r="G3" s="35"/>
      <c r="H3" s="63" t="s">
        <v>2</v>
      </c>
      <c r="I3" s="125" t="s">
        <v>66</v>
      </c>
      <c r="J3" s="125" t="s">
        <v>39</v>
      </c>
      <c r="L3" s="166"/>
      <c r="M3" s="341"/>
      <c r="N3" s="341"/>
      <c r="O3" s="341"/>
      <c r="P3" s="341"/>
      <c r="Q3" s="341"/>
      <c r="R3" s="341"/>
      <c r="S3" s="341"/>
      <c r="T3" s="341"/>
    </row>
    <row r="4" spans="1:20" ht="15">
      <c r="A4" s="123"/>
      <c r="B4" s="124"/>
      <c r="C4" s="124"/>
      <c r="D4" s="124"/>
      <c r="E4" s="124"/>
      <c r="F4" s="124"/>
      <c r="G4" s="34"/>
      <c r="H4" s="123"/>
      <c r="I4" s="124"/>
      <c r="J4" s="124"/>
      <c r="L4" s="166"/>
      <c r="M4" s="167"/>
      <c r="N4" s="167"/>
      <c r="O4" s="167"/>
      <c r="P4" s="167"/>
      <c r="Q4" s="167"/>
      <c r="R4" s="167"/>
      <c r="S4" s="167"/>
      <c r="T4" s="167"/>
    </row>
    <row r="5" spans="1:20" ht="15">
      <c r="A5" s="259" t="s">
        <v>30</v>
      </c>
      <c r="B5" s="27">
        <f>ProductionSequence!H20</f>
        <v>161.38218</v>
      </c>
      <c r="C5" s="27">
        <f>ProductionSequence!L20</f>
        <v>319.76</v>
      </c>
      <c r="D5" s="27">
        <f>ProductionSequence!O20</f>
        <v>305.28</v>
      </c>
      <c r="E5" s="35">
        <f>SUM(B5:D5)</f>
        <v>786.42218</v>
      </c>
      <c r="F5" s="157">
        <f>E5/E$18</f>
        <v>0.03364288522882907</v>
      </c>
      <c r="G5" s="34"/>
      <c r="H5" s="259" t="s">
        <v>30</v>
      </c>
      <c r="I5" s="27">
        <f>ProductionSequence!M20</f>
        <v>28.799999999999997</v>
      </c>
      <c r="J5" s="158">
        <f>I5/I$17</f>
        <v>0.015045695422621437</v>
      </c>
      <c r="L5" s="342"/>
      <c r="M5" s="343"/>
      <c r="N5" s="343"/>
      <c r="O5" s="343"/>
      <c r="P5" s="343"/>
      <c r="Q5" s="343"/>
      <c r="R5" s="343"/>
      <c r="S5" s="344"/>
      <c r="T5" s="345"/>
    </row>
    <row r="6" spans="1:20" ht="15">
      <c r="A6" s="259" t="s">
        <v>32</v>
      </c>
      <c r="B6" s="27">
        <v>0</v>
      </c>
      <c r="C6" s="27">
        <v>0</v>
      </c>
      <c r="D6" s="27">
        <v>0</v>
      </c>
      <c r="E6" s="35">
        <v>0</v>
      </c>
      <c r="F6" s="157">
        <f aca="true" t="shared" si="0" ref="F6:F17">E6/E$18</f>
        <v>0</v>
      </c>
      <c r="G6" s="34"/>
      <c r="H6" s="259" t="s">
        <v>32</v>
      </c>
      <c r="I6" s="27">
        <v>0</v>
      </c>
      <c r="J6" s="158">
        <f aca="true" t="shared" si="1" ref="J6:J17">I6/I$17</f>
        <v>0</v>
      </c>
      <c r="L6" s="342"/>
      <c r="M6" s="343"/>
      <c r="N6" s="343"/>
      <c r="O6" s="343"/>
      <c r="P6" s="343"/>
      <c r="Q6" s="343"/>
      <c r="R6" s="343"/>
      <c r="S6" s="344"/>
      <c r="T6" s="345"/>
    </row>
    <row r="7" spans="1:20" ht="15">
      <c r="A7" s="259" t="s">
        <v>33</v>
      </c>
      <c r="B7" s="27">
        <f>ProductionSequence!H39</f>
        <v>182.4691533333333</v>
      </c>
      <c r="C7" s="27">
        <f>ProductionSequence!L39</f>
        <v>4016.0400000000004</v>
      </c>
      <c r="D7" s="27">
        <f>ProductionSequence!O39</f>
        <v>660.5287500000001</v>
      </c>
      <c r="E7" s="35">
        <f aca="true" t="shared" si="2" ref="E7:E16">SUM(B7:D7)</f>
        <v>4859.037903333334</v>
      </c>
      <c r="F7" s="157">
        <f t="shared" si="0"/>
        <v>0.20786806204318092</v>
      </c>
      <c r="G7" s="34"/>
      <c r="H7" s="259" t="s">
        <v>33</v>
      </c>
      <c r="I7" s="27">
        <f>ProductionSequence!M39</f>
        <v>60.06875000000001</v>
      </c>
      <c r="J7" s="158">
        <f t="shared" si="1"/>
        <v>0.031381115170749714</v>
      </c>
      <c r="L7" s="342"/>
      <c r="M7" s="343"/>
      <c r="N7" s="343"/>
      <c r="O7" s="343"/>
      <c r="P7" s="343"/>
      <c r="Q7" s="343"/>
      <c r="R7" s="343"/>
      <c r="S7" s="344"/>
      <c r="T7" s="345"/>
    </row>
    <row r="8" spans="1:20" ht="15">
      <c r="A8" s="259" t="s">
        <v>34</v>
      </c>
      <c r="B8" s="27">
        <f>ProductionSequence!H53</f>
        <v>482.0447316666666</v>
      </c>
      <c r="C8" s="27">
        <f>ProductionSequence!L53</f>
        <v>661.8400000000001</v>
      </c>
      <c r="D8" s="27">
        <f>ProductionSequence!O53</f>
        <v>912.1800000000001</v>
      </c>
      <c r="E8" s="35">
        <f t="shared" si="2"/>
        <v>2056.064731666667</v>
      </c>
      <c r="F8" s="157">
        <f t="shared" si="0"/>
        <v>0.08795778088367869</v>
      </c>
      <c r="G8" s="34"/>
      <c r="H8" s="259" t="s">
        <v>34</v>
      </c>
      <c r="I8" s="27">
        <f>ProductionSequence!M53</f>
        <v>84.9</v>
      </c>
      <c r="J8" s="158">
        <f t="shared" si="1"/>
        <v>0.04435345629793612</v>
      </c>
      <c r="L8" s="342"/>
      <c r="M8" s="343"/>
      <c r="N8" s="343"/>
      <c r="O8" s="343"/>
      <c r="P8" s="343"/>
      <c r="Q8" s="343"/>
      <c r="R8" s="343"/>
      <c r="S8" s="344"/>
      <c r="T8" s="345"/>
    </row>
    <row r="9" spans="1:20" ht="15">
      <c r="A9" s="259" t="s">
        <v>16</v>
      </c>
      <c r="B9" s="27">
        <f>ProductionSequence!H61</f>
        <v>42.25248066666667</v>
      </c>
      <c r="C9" s="27">
        <f>ProductionSequence!L61</f>
        <v>76.32000000000001</v>
      </c>
      <c r="D9" s="27">
        <f>ProductionSequence!O61</f>
        <v>50.968</v>
      </c>
      <c r="E9" s="35">
        <f t="shared" si="2"/>
        <v>169.54048066666667</v>
      </c>
      <c r="F9" s="157">
        <f t="shared" si="0"/>
        <v>0.007252886652699929</v>
      </c>
      <c r="G9" s="34"/>
      <c r="H9" s="259" t="s">
        <v>16</v>
      </c>
      <c r="I9" s="27">
        <f>ProductionSequence!M61</f>
        <v>4.68</v>
      </c>
      <c r="J9" s="158">
        <f t="shared" si="1"/>
        <v>0.0024449255061759836</v>
      </c>
      <c r="L9" s="342"/>
      <c r="M9" s="343"/>
      <c r="N9" s="343"/>
      <c r="O9" s="343"/>
      <c r="P9" s="343"/>
      <c r="Q9" s="343"/>
      <c r="R9" s="343"/>
      <c r="S9" s="344"/>
      <c r="T9" s="345"/>
    </row>
    <row r="10" spans="1:20" ht="15">
      <c r="A10" s="259" t="s">
        <v>0</v>
      </c>
      <c r="B10" s="27">
        <v>0</v>
      </c>
      <c r="C10" s="27">
        <v>0</v>
      </c>
      <c r="D10" s="27">
        <v>0</v>
      </c>
      <c r="E10" s="35">
        <v>0</v>
      </c>
      <c r="F10" s="157">
        <f t="shared" si="0"/>
        <v>0</v>
      </c>
      <c r="G10" s="34"/>
      <c r="H10" s="259" t="s">
        <v>0</v>
      </c>
      <c r="I10" s="27">
        <v>0</v>
      </c>
      <c r="J10" s="158">
        <f t="shared" si="1"/>
        <v>0</v>
      </c>
      <c r="L10" s="342"/>
      <c r="M10" s="343"/>
      <c r="N10" s="343"/>
      <c r="O10" s="343"/>
      <c r="P10" s="343"/>
      <c r="Q10" s="343"/>
      <c r="R10" s="343"/>
      <c r="S10" s="344"/>
      <c r="T10" s="345"/>
    </row>
    <row r="11" spans="1:20" ht="15">
      <c r="A11" s="259" t="s">
        <v>1</v>
      </c>
      <c r="B11" s="27">
        <f>ProductionSequence!H69</f>
        <v>0.8529300000000001</v>
      </c>
      <c r="C11" s="27">
        <f>ProductionSequence!L69</f>
        <v>1308.4</v>
      </c>
      <c r="D11" s="27">
        <f>ProductionSequence!O69</f>
        <v>349.79999999999995</v>
      </c>
      <c r="E11" s="35">
        <f t="shared" si="2"/>
        <v>1659.05293</v>
      </c>
      <c r="F11" s="157">
        <f t="shared" si="0"/>
        <v>0.07097374505960984</v>
      </c>
      <c r="G11" s="34"/>
      <c r="H11" s="259" t="s">
        <v>1</v>
      </c>
      <c r="I11" s="27">
        <f>ProductionSequence!M69</f>
        <v>33</v>
      </c>
      <c r="J11" s="158">
        <f t="shared" si="1"/>
        <v>0.0172398593384204</v>
      </c>
      <c r="L11" s="342"/>
      <c r="M11" s="343"/>
      <c r="N11" s="343"/>
      <c r="O11" s="343"/>
      <c r="P11" s="343"/>
      <c r="Q11" s="343"/>
      <c r="R11" s="343"/>
      <c r="S11" s="344"/>
      <c r="T11" s="345"/>
    </row>
    <row r="12" spans="1:20" ht="15">
      <c r="A12" s="259" t="s">
        <v>28</v>
      </c>
      <c r="B12" s="27">
        <f>ProductionSequence!H73</f>
        <v>0</v>
      </c>
      <c r="C12" s="27">
        <f>ProductionSequence!L73</f>
        <v>0</v>
      </c>
      <c r="D12" s="27">
        <f>ProductionSequence!O73</f>
        <v>530</v>
      </c>
      <c r="E12" s="35">
        <f t="shared" si="2"/>
        <v>530</v>
      </c>
      <c r="F12" s="157">
        <f t="shared" si="0"/>
        <v>0.022673227720102464</v>
      </c>
      <c r="G12" s="34"/>
      <c r="H12" s="259" t="s">
        <v>28</v>
      </c>
      <c r="I12" s="27">
        <f>ProductionSequence!M73</f>
        <v>50</v>
      </c>
      <c r="J12" s="158">
        <f t="shared" si="1"/>
        <v>0.026120998997606667</v>
      </c>
      <c r="L12" s="342"/>
      <c r="M12" s="343"/>
      <c r="N12" s="343"/>
      <c r="O12" s="343"/>
      <c r="P12" s="343"/>
      <c r="Q12" s="343"/>
      <c r="R12" s="343"/>
      <c r="S12" s="344"/>
      <c r="T12" s="345"/>
    </row>
    <row r="13" spans="1:20" ht="15">
      <c r="A13" s="259" t="s">
        <v>27</v>
      </c>
      <c r="B13" s="27">
        <f>ProductionSequence!H91</f>
        <v>15.747414000000001</v>
      </c>
      <c r="C13" s="27">
        <f>ProductionSequence!L91</f>
        <v>116.32000000000001</v>
      </c>
      <c r="D13" s="27">
        <f>ProductionSequence!O91</f>
        <v>453.70799999999997</v>
      </c>
      <c r="E13" s="35">
        <f t="shared" si="2"/>
        <v>585.775414</v>
      </c>
      <c r="F13" s="157">
        <f t="shared" si="0"/>
        <v>0.025059281800866594</v>
      </c>
      <c r="G13" s="34"/>
      <c r="H13" s="259" t="s">
        <v>27</v>
      </c>
      <c r="I13" s="27">
        <f>ProductionSequence!M91</f>
        <v>41.68</v>
      </c>
      <c r="J13" s="158">
        <f t="shared" si="1"/>
        <v>0.021774464764404918</v>
      </c>
      <c r="L13" s="342"/>
      <c r="M13" s="343"/>
      <c r="N13" s="343"/>
      <c r="O13" s="343"/>
      <c r="P13" s="343"/>
      <c r="Q13" s="343"/>
      <c r="R13" s="343"/>
      <c r="S13" s="344"/>
      <c r="T13" s="345"/>
    </row>
    <row r="14" spans="1:20" ht="15">
      <c r="A14" s="259" t="s">
        <v>29</v>
      </c>
      <c r="B14" s="27">
        <f>ProductionSequence!H123</f>
        <v>337.725814</v>
      </c>
      <c r="C14" s="27">
        <f>ProductionSequence!L123</f>
        <v>252.35999999999999</v>
      </c>
      <c r="D14" s="27">
        <f>ProductionSequence!O123</f>
        <v>675.348</v>
      </c>
      <c r="E14" s="35">
        <f t="shared" si="2"/>
        <v>1265.433814</v>
      </c>
      <c r="F14" s="157">
        <f t="shared" si="0"/>
        <v>0.05413484722554676</v>
      </c>
      <c r="G14" s="34"/>
      <c r="H14" s="259" t="s">
        <v>29</v>
      </c>
      <c r="I14" s="27">
        <f>ProductionSequence!M123</f>
        <v>58.58</v>
      </c>
      <c r="J14" s="158">
        <f t="shared" si="1"/>
        <v>0.03060336242559597</v>
      </c>
      <c r="L14" s="342"/>
      <c r="M14" s="343"/>
      <c r="N14" s="343"/>
      <c r="O14" s="343"/>
      <c r="P14" s="343"/>
      <c r="Q14" s="343"/>
      <c r="R14" s="343"/>
      <c r="S14" s="344"/>
      <c r="T14" s="345"/>
    </row>
    <row r="15" spans="1:20" ht="15">
      <c r="A15" s="259" t="s">
        <v>25</v>
      </c>
      <c r="B15" s="27">
        <f>ProductionSequence!H160</f>
        <v>314.8465893333333</v>
      </c>
      <c r="C15" s="27">
        <f>ProductionSequence!L160</f>
        <v>1132.265</v>
      </c>
      <c r="D15" s="27">
        <f>ProductionSequence!O160</f>
        <v>969.4269999999997</v>
      </c>
      <c r="E15" s="35">
        <f t="shared" si="2"/>
        <v>2416.538589333333</v>
      </c>
      <c r="F15" s="157">
        <f t="shared" si="0"/>
        <v>0.10337873534032044</v>
      </c>
      <c r="G15" s="34"/>
      <c r="H15" s="259" t="s">
        <v>25</v>
      </c>
      <c r="I15" s="27">
        <f>ProductionSequence!M160</f>
        <v>402.12</v>
      </c>
      <c r="J15" s="158">
        <f t="shared" si="1"/>
        <v>0.21007552233835186</v>
      </c>
      <c r="L15" s="342"/>
      <c r="M15" s="343"/>
      <c r="N15" s="343"/>
      <c r="O15" s="343"/>
      <c r="P15" s="343"/>
      <c r="Q15" s="343"/>
      <c r="R15" s="343"/>
      <c r="S15" s="344"/>
      <c r="T15" s="345"/>
    </row>
    <row r="16" spans="1:20" ht="15">
      <c r="A16" s="259" t="s">
        <v>17</v>
      </c>
      <c r="B16" s="27">
        <f>ProductionSequence!H192</f>
        <v>161.93664199999998</v>
      </c>
      <c r="C16" s="27">
        <f>ProductionSequence!L192</f>
        <v>1853.675</v>
      </c>
      <c r="D16" s="27">
        <f>ProductionSequence!O192</f>
        <v>2211.1089999999995</v>
      </c>
      <c r="E16" s="35">
        <f t="shared" si="2"/>
        <v>4226.720641999999</v>
      </c>
      <c r="F16" s="157">
        <f t="shared" si="0"/>
        <v>0.18081773514212013</v>
      </c>
      <c r="G16" s="34"/>
      <c r="H16" s="259" t="s">
        <v>17</v>
      </c>
      <c r="I16" s="27">
        <f>ProductionSequence!M192</f>
        <v>1150.34</v>
      </c>
      <c r="J16" s="158">
        <f t="shared" si="1"/>
        <v>0.600960599738137</v>
      </c>
      <c r="L16" s="342"/>
      <c r="M16" s="343"/>
      <c r="N16" s="343"/>
      <c r="O16" s="343"/>
      <c r="P16" s="343"/>
      <c r="Q16" s="343"/>
      <c r="R16" s="343"/>
      <c r="S16" s="344"/>
      <c r="T16" s="345"/>
    </row>
    <row r="17" spans="1:20" ht="15">
      <c r="A17" s="124" t="s">
        <v>64</v>
      </c>
      <c r="B17" s="27">
        <f>ProductionSequence!H203</f>
        <v>0</v>
      </c>
      <c r="C17" s="27">
        <v>0</v>
      </c>
      <c r="D17" s="27">
        <f>ProductionSequence!O203</f>
        <v>0</v>
      </c>
      <c r="E17" s="326">
        <f>ProductionSequence!P203</f>
        <v>4821</v>
      </c>
      <c r="F17" s="157">
        <f t="shared" si="0"/>
        <v>0.20624081290304525</v>
      </c>
      <c r="G17" s="34"/>
      <c r="H17" s="63" t="s">
        <v>212</v>
      </c>
      <c r="I17" s="261">
        <f>SUM(I5:I16)</f>
        <v>1914.1687499999998</v>
      </c>
      <c r="J17" s="262">
        <f t="shared" si="1"/>
        <v>1</v>
      </c>
      <c r="L17" s="327"/>
      <c r="M17" s="328"/>
      <c r="N17" s="328"/>
      <c r="O17" s="328"/>
      <c r="P17" s="328"/>
      <c r="Q17" s="328"/>
      <c r="R17" s="328"/>
      <c r="S17" s="328"/>
      <c r="T17" s="329"/>
    </row>
    <row r="18" spans="1:20" ht="15">
      <c r="A18" s="173" t="s">
        <v>119</v>
      </c>
      <c r="B18" s="174">
        <f>SUM(B5:B17)</f>
        <v>1699.2579349999999</v>
      </c>
      <c r="C18" s="174">
        <f>SUM(C5:C17)</f>
        <v>9736.98</v>
      </c>
      <c r="D18" s="174">
        <f>SUM(D5:D17)</f>
        <v>7118.348749999999</v>
      </c>
      <c r="E18" s="174">
        <f>SUM(E5:E17)</f>
        <v>23375.586685</v>
      </c>
      <c r="F18" s="175">
        <f>SUM(F5:F17)</f>
        <v>1</v>
      </c>
      <c r="G18" s="36"/>
      <c r="H18" s="166"/>
      <c r="I18" s="167"/>
      <c r="J18" s="167"/>
      <c r="L18" s="60"/>
      <c r="M18" s="60"/>
      <c r="N18" s="60"/>
      <c r="O18" s="60"/>
      <c r="P18" s="60"/>
      <c r="Q18" s="60"/>
      <c r="R18" s="60"/>
      <c r="S18" s="60"/>
      <c r="T18" s="60"/>
    </row>
    <row r="19" spans="1:20" ht="15">
      <c r="A19" s="327"/>
      <c r="B19" s="328"/>
      <c r="C19" s="328"/>
      <c r="D19" s="328"/>
      <c r="E19" s="328"/>
      <c r="F19" s="329"/>
      <c r="G19" s="36"/>
      <c r="H19" s="166"/>
      <c r="I19" s="167"/>
      <c r="J19" s="167"/>
      <c r="L19" s="60"/>
      <c r="M19" s="60"/>
      <c r="N19" s="60"/>
      <c r="O19" s="60"/>
      <c r="P19" s="60"/>
      <c r="Q19" s="60"/>
      <c r="R19" s="60"/>
      <c r="S19" s="60"/>
      <c r="T19" s="60"/>
    </row>
    <row r="20" spans="12:20" ht="12">
      <c r="L20" s="60"/>
      <c r="M20" s="60"/>
      <c r="N20" s="60"/>
      <c r="O20" s="60"/>
      <c r="P20" s="60"/>
      <c r="Q20" s="60"/>
      <c r="R20" s="60"/>
      <c r="S20" s="60"/>
      <c r="T20" s="60"/>
    </row>
    <row r="21" spans="1:20" ht="15">
      <c r="A21" s="379" t="s">
        <v>331</v>
      </c>
      <c r="B21" s="379"/>
      <c r="C21" s="379"/>
      <c r="D21" s="379"/>
      <c r="E21" s="379"/>
      <c r="H21" s="26" t="s">
        <v>332</v>
      </c>
      <c r="I21" s="1"/>
      <c r="L21" s="380"/>
      <c r="M21" s="380"/>
      <c r="N21" s="380"/>
      <c r="O21" s="380"/>
      <c r="P21" s="380"/>
      <c r="Q21" s="380"/>
      <c r="R21" s="380"/>
      <c r="S21" s="380"/>
      <c r="T21" s="60"/>
    </row>
    <row r="22" spans="1:20" ht="15">
      <c r="A22" s="63" t="s">
        <v>294</v>
      </c>
      <c r="B22" s="125" t="s">
        <v>36</v>
      </c>
      <c r="C22" s="125" t="s">
        <v>40</v>
      </c>
      <c r="D22" s="125" t="s">
        <v>38</v>
      </c>
      <c r="E22" s="125" t="s">
        <v>39</v>
      </c>
      <c r="F22" s="125" t="s">
        <v>120</v>
      </c>
      <c r="H22" s="63" t="s">
        <v>3</v>
      </c>
      <c r="I22" s="125" t="s">
        <v>38</v>
      </c>
      <c r="J22" s="125" t="s">
        <v>120</v>
      </c>
      <c r="L22" s="166"/>
      <c r="M22" s="341"/>
      <c r="N22" s="341"/>
      <c r="O22" s="341"/>
      <c r="P22" s="341"/>
      <c r="Q22" s="341"/>
      <c r="R22" s="341"/>
      <c r="S22" s="341"/>
      <c r="T22" s="341"/>
    </row>
    <row r="23" spans="1:20" ht="15">
      <c r="A23" s="63" t="s">
        <v>2</v>
      </c>
      <c r="B23" s="125" t="s">
        <v>2</v>
      </c>
      <c r="C23" s="125" t="s">
        <v>2</v>
      </c>
      <c r="D23" s="125" t="s">
        <v>2</v>
      </c>
      <c r="E23" s="125" t="s">
        <v>63</v>
      </c>
      <c r="F23" s="125" t="s">
        <v>39</v>
      </c>
      <c r="H23" s="63" t="s">
        <v>2</v>
      </c>
      <c r="I23" s="125" t="s">
        <v>66</v>
      </c>
      <c r="J23" s="125" t="s">
        <v>39</v>
      </c>
      <c r="L23" s="166"/>
      <c r="M23" s="341"/>
      <c r="N23" s="341"/>
      <c r="O23" s="341"/>
      <c r="P23" s="341"/>
      <c r="Q23" s="341"/>
      <c r="R23" s="341"/>
      <c r="S23" s="341"/>
      <c r="T23" s="341"/>
    </row>
    <row r="24" spans="1:20" ht="15">
      <c r="A24" s="123"/>
      <c r="B24" s="124"/>
      <c r="C24" s="124"/>
      <c r="D24" s="124"/>
      <c r="E24" s="124"/>
      <c r="F24" s="124"/>
      <c r="H24" s="123"/>
      <c r="I24" s="124"/>
      <c r="J24" s="124"/>
      <c r="L24" s="166"/>
      <c r="M24" s="167"/>
      <c r="N24" s="167"/>
      <c r="O24" s="167"/>
      <c r="P24" s="167"/>
      <c r="Q24" s="167"/>
      <c r="R24" s="167"/>
      <c r="S24" s="167"/>
      <c r="T24" s="167"/>
    </row>
    <row r="25" spans="1:20" ht="15">
      <c r="A25" s="259" t="s">
        <v>295</v>
      </c>
      <c r="B25" s="27">
        <f>ProductionSequence!H21</f>
        <v>161.38218</v>
      </c>
      <c r="C25" s="27">
        <f>ProductionSequence!L21</f>
        <v>319.76</v>
      </c>
      <c r="D25" s="27">
        <f>ProductionSequence!O21</f>
        <v>305.28</v>
      </c>
      <c r="E25" s="35">
        <f aca="true" t="shared" si="3" ref="E25:E30">SUM(B25:D25)</f>
        <v>786.42218</v>
      </c>
      <c r="F25" s="157">
        <f aca="true" t="shared" si="4" ref="F25:F31">E25/E$18</f>
        <v>0.03364288522882907</v>
      </c>
      <c r="H25" s="259" t="s">
        <v>295</v>
      </c>
      <c r="I25" s="27">
        <f>ProductionSequence!M21</f>
        <v>28.799999999999997</v>
      </c>
      <c r="J25" s="158">
        <f>I25/I$17</f>
        <v>0.015045695422621437</v>
      </c>
      <c r="L25" s="342"/>
      <c r="M25" s="343"/>
      <c r="N25" s="343"/>
      <c r="O25" s="343"/>
      <c r="P25" s="343"/>
      <c r="Q25" s="343"/>
      <c r="R25" s="343"/>
      <c r="S25" s="344"/>
      <c r="T25" s="345"/>
    </row>
    <row r="26" spans="1:20" ht="15">
      <c r="A26" s="259" t="s">
        <v>296</v>
      </c>
      <c r="B26" s="27">
        <f>ProductionSequence!H48</f>
        <v>339.833485</v>
      </c>
      <c r="C26" s="27">
        <f>ProductionSequence!L48</f>
        <v>4677.88</v>
      </c>
      <c r="D26" s="27">
        <f>ProductionSequence!O48</f>
        <v>1140.22875</v>
      </c>
      <c r="E26" s="35">
        <f t="shared" si="3"/>
        <v>6157.942235</v>
      </c>
      <c r="F26" s="157">
        <f t="shared" si="4"/>
        <v>0.2634347671347014</v>
      </c>
      <c r="H26" s="259" t="s">
        <v>296</v>
      </c>
      <c r="I26" s="27">
        <f>ProductionSequence!M48</f>
        <v>104.16875000000002</v>
      </c>
      <c r="J26" s="158">
        <f aca="true" t="shared" si="5" ref="J26:J31">I26/I$17</f>
        <v>0.054419836286638795</v>
      </c>
      <c r="L26" s="342"/>
      <c r="M26" s="343"/>
      <c r="N26" s="343"/>
      <c r="O26" s="343"/>
      <c r="P26" s="343"/>
      <c r="Q26" s="343"/>
      <c r="R26" s="343"/>
      <c r="S26" s="344"/>
      <c r="T26" s="345"/>
    </row>
    <row r="27" spans="1:20" ht="15">
      <c r="A27" s="259" t="s">
        <v>297</v>
      </c>
      <c r="B27" s="27">
        <f>ProductionSequence!H62</f>
        <v>366.93288066666673</v>
      </c>
      <c r="C27" s="27">
        <f>ProductionSequence!L62</f>
        <v>76.32000000000009</v>
      </c>
      <c r="D27" s="27">
        <f>ProductionSequence!O62</f>
        <v>483.44800000000015</v>
      </c>
      <c r="E27" s="35">
        <f t="shared" si="3"/>
        <v>926.700880666667</v>
      </c>
      <c r="F27" s="157">
        <f t="shared" si="4"/>
        <v>0.03964396244485818</v>
      </c>
      <c r="H27" s="259" t="s">
        <v>297</v>
      </c>
      <c r="I27" s="27">
        <f>ProductionSequence!M62</f>
        <v>45.48</v>
      </c>
      <c r="J27" s="158">
        <f t="shared" si="5"/>
        <v>0.023759660688223022</v>
      </c>
      <c r="L27" s="342"/>
      <c r="M27" s="343"/>
      <c r="N27" s="343"/>
      <c r="O27" s="343"/>
      <c r="P27" s="343"/>
      <c r="Q27" s="343"/>
      <c r="R27" s="343"/>
      <c r="S27" s="344"/>
      <c r="T27" s="345"/>
    </row>
    <row r="28" spans="1:20" ht="15">
      <c r="A28" s="259" t="s">
        <v>298</v>
      </c>
      <c r="B28" s="27">
        <f>ProductionSequence!H77</f>
        <v>0.8529300000000001</v>
      </c>
      <c r="C28" s="27">
        <f>ProductionSequence!L77</f>
        <v>1308.4</v>
      </c>
      <c r="D28" s="27">
        <f>ProductionSequence!O77</f>
        <v>957.3999999999999</v>
      </c>
      <c r="E28" s="35">
        <f t="shared" si="3"/>
        <v>2266.65293</v>
      </c>
      <c r="F28" s="157">
        <f t="shared" si="4"/>
        <v>0.09696667555533485</v>
      </c>
      <c r="H28" s="259" t="s">
        <v>298</v>
      </c>
      <c r="I28" s="27">
        <f>ProductionSequence!M77</f>
        <v>90</v>
      </c>
      <c r="J28" s="158">
        <f t="shared" si="5"/>
        <v>0.047017798195692</v>
      </c>
      <c r="L28" s="342"/>
      <c r="M28" s="343"/>
      <c r="N28" s="343"/>
      <c r="O28" s="343"/>
      <c r="P28" s="343"/>
      <c r="Q28" s="343"/>
      <c r="R28" s="343"/>
      <c r="S28" s="344"/>
      <c r="T28" s="345"/>
    </row>
    <row r="29" spans="1:20" ht="15">
      <c r="A29" s="259" t="s">
        <v>299</v>
      </c>
      <c r="B29" s="27">
        <f>ProductionSequence!H142</f>
        <v>611.782856</v>
      </c>
      <c r="C29" s="27">
        <f>ProductionSequence!L142</f>
        <v>719.76</v>
      </c>
      <c r="D29" s="27">
        <f>ProductionSequence!O142</f>
        <v>1264.172</v>
      </c>
      <c r="E29" s="35">
        <f t="shared" si="3"/>
        <v>2595.714856</v>
      </c>
      <c r="F29" s="157">
        <f t="shared" si="4"/>
        <v>0.11104383778592637</v>
      </c>
      <c r="H29" s="259" t="s">
        <v>299</v>
      </c>
      <c r="I29" s="27">
        <f>ProductionSequence!M142</f>
        <v>110.11999999999999</v>
      </c>
      <c r="J29" s="158">
        <f t="shared" si="5"/>
        <v>0.05752888819232892</v>
      </c>
      <c r="L29" s="342"/>
      <c r="M29" s="343"/>
      <c r="N29" s="343"/>
      <c r="O29" s="343"/>
      <c r="P29" s="343"/>
      <c r="Q29" s="343"/>
      <c r="R29" s="343"/>
      <c r="S29" s="344"/>
      <c r="T29" s="345"/>
    </row>
    <row r="30" spans="1:20" ht="15">
      <c r="A30" s="259" t="s">
        <v>300</v>
      </c>
      <c r="B30" s="27">
        <f>ProductionSequence!H193</f>
        <v>218.47360333333336</v>
      </c>
      <c r="C30" s="27">
        <f>ProductionSequence!L193</f>
        <v>2634.8600000000006</v>
      </c>
      <c r="D30" s="27">
        <f>ProductionSequence!O193</f>
        <v>2967.819999999999</v>
      </c>
      <c r="E30" s="35">
        <f t="shared" si="3"/>
        <v>5821.153603333332</v>
      </c>
      <c r="F30" s="157">
        <f t="shared" si="4"/>
        <v>0.24902705894730498</v>
      </c>
      <c r="H30" s="259" t="s">
        <v>300</v>
      </c>
      <c r="I30" s="27">
        <f>ProductionSequence!M193</f>
        <v>1535.6000000000004</v>
      </c>
      <c r="J30" s="158">
        <f t="shared" si="5"/>
        <v>0.8022281212144962</v>
      </c>
      <c r="L30" s="342"/>
      <c r="M30" s="343"/>
      <c r="N30" s="343"/>
      <c r="O30" s="343"/>
      <c r="P30" s="343"/>
      <c r="Q30" s="343"/>
      <c r="R30" s="343"/>
      <c r="S30" s="344"/>
      <c r="T30" s="345"/>
    </row>
    <row r="31" spans="1:20" ht="15">
      <c r="A31" s="124" t="s">
        <v>64</v>
      </c>
      <c r="B31" s="27">
        <f>ProductionSequence!H203</f>
        <v>0</v>
      </c>
      <c r="C31" s="27">
        <v>0</v>
      </c>
      <c r="D31" s="27">
        <f>ProductionSequence!O203</f>
        <v>0</v>
      </c>
      <c r="E31" s="326">
        <f>ProductionSequence!P203</f>
        <v>4821</v>
      </c>
      <c r="F31" s="157">
        <f t="shared" si="4"/>
        <v>0.20624081290304525</v>
      </c>
      <c r="H31" s="63" t="s">
        <v>212</v>
      </c>
      <c r="I31" s="261">
        <f>SUM(I25:I30)</f>
        <v>1914.1687500000003</v>
      </c>
      <c r="J31" s="262">
        <f t="shared" si="5"/>
        <v>1.0000000000000002</v>
      </c>
      <c r="L31" s="327"/>
      <c r="M31" s="328"/>
      <c r="N31" s="328"/>
      <c r="O31" s="328"/>
      <c r="P31" s="328"/>
      <c r="Q31" s="328"/>
      <c r="R31" s="328"/>
      <c r="S31" s="328"/>
      <c r="T31" s="329"/>
    </row>
    <row r="32" spans="1:20" ht="15">
      <c r="A32" s="173" t="s">
        <v>119</v>
      </c>
      <c r="B32" s="174">
        <f>SUM(B25:B31)</f>
        <v>1699.257935</v>
      </c>
      <c r="C32" s="174">
        <f>SUM(C25:C31)</f>
        <v>9736.980000000001</v>
      </c>
      <c r="D32" s="174">
        <f>SUM(D25:D31)</f>
        <v>7118.348749999998</v>
      </c>
      <c r="E32" s="174">
        <f>SUM(E25:E31)</f>
        <v>23375.586685000002</v>
      </c>
      <c r="F32" s="175">
        <f>SUM(F25:F31)</f>
        <v>1.0000000000000002</v>
      </c>
      <c r="L32" s="60"/>
      <c r="M32" s="60"/>
      <c r="N32" s="60"/>
      <c r="O32" s="60"/>
      <c r="P32" s="60"/>
      <c r="Q32" s="60"/>
      <c r="R32" s="60"/>
      <c r="S32" s="60"/>
      <c r="T32" s="60"/>
    </row>
    <row r="33" spans="12:20" ht="12">
      <c r="L33" s="60"/>
      <c r="M33" s="60"/>
      <c r="N33" s="60"/>
      <c r="O33" s="60"/>
      <c r="P33" s="60"/>
      <c r="Q33" s="60"/>
      <c r="R33" s="60"/>
      <c r="S33" s="60"/>
      <c r="T33" s="60"/>
    </row>
    <row r="34" spans="12:20" ht="12">
      <c r="L34" s="60"/>
      <c r="M34" s="60"/>
      <c r="N34" s="60"/>
      <c r="O34" s="60"/>
      <c r="P34" s="60"/>
      <c r="Q34" s="60"/>
      <c r="R34" s="60"/>
      <c r="S34" s="60"/>
      <c r="T34" s="60"/>
    </row>
    <row r="35" spans="12:20" ht="12">
      <c r="L35" s="60"/>
      <c r="M35" s="60"/>
      <c r="N35" s="60"/>
      <c r="O35" s="60"/>
      <c r="P35" s="60"/>
      <c r="Q35" s="60"/>
      <c r="R35" s="60"/>
      <c r="S35" s="60"/>
      <c r="T35" s="60"/>
    </row>
  </sheetData>
  <sheetProtection password="ECAF" sheet="1" selectLockedCells="1"/>
  <mergeCells count="2">
    <mergeCell ref="A21:E21"/>
    <mergeCell ref="L21:S21"/>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7030A0"/>
  </sheetPr>
  <dimension ref="A1:S31"/>
  <sheetViews>
    <sheetView workbookViewId="0" topLeftCell="A1">
      <selection activeCell="A1" sqref="A1:E23"/>
    </sheetView>
  </sheetViews>
  <sheetFormatPr defaultColWidth="8.8515625" defaultRowHeight="12.75"/>
  <cols>
    <col min="1" max="1" width="12.421875" style="0" customWidth="1"/>
    <col min="2" max="2" width="12.00390625" style="0" customWidth="1"/>
    <col min="3" max="3" width="10.28125" style="0" customWidth="1"/>
    <col min="4" max="4" width="13.421875" style="0" customWidth="1"/>
    <col min="5" max="5" width="10.421875" style="0" customWidth="1"/>
    <col min="6" max="6" width="12.140625" style="0" customWidth="1"/>
    <col min="7" max="7" width="10.421875" style="0" customWidth="1"/>
    <col min="8" max="8" width="11.140625" style="0" customWidth="1"/>
    <col min="9" max="9" width="12.00390625" style="0" customWidth="1"/>
    <col min="10" max="10" width="11.00390625" style="0" customWidth="1"/>
  </cols>
  <sheetData>
    <row r="1" spans="1:9" ht="15">
      <c r="A1" s="300" t="s">
        <v>337</v>
      </c>
      <c r="B1" s="43"/>
      <c r="C1" s="43"/>
      <c r="D1" s="43"/>
      <c r="E1" s="43"/>
      <c r="F1" s="43"/>
      <c r="G1" s="43"/>
      <c r="H1" s="43"/>
      <c r="I1" s="43"/>
    </row>
    <row r="2" spans="2:9" ht="12">
      <c r="B2" s="43"/>
      <c r="C2" s="43"/>
      <c r="D2" s="43"/>
      <c r="E2" s="43"/>
      <c r="F2" s="43"/>
      <c r="G2" s="43"/>
      <c r="H2" s="43"/>
      <c r="I2" s="43"/>
    </row>
    <row r="3" spans="1:9" ht="12">
      <c r="A3" s="301" t="s">
        <v>285</v>
      </c>
      <c r="B3" s="314"/>
      <c r="C3" s="314"/>
      <c r="D3" s="315">
        <f>Assumptions!G8</f>
        <v>14100</v>
      </c>
      <c r="E3" s="302" t="s">
        <v>286</v>
      </c>
      <c r="F3" s="280"/>
      <c r="G3" s="43"/>
      <c r="H3" s="43"/>
      <c r="I3" s="43"/>
    </row>
    <row r="4" spans="1:9" ht="12">
      <c r="A4" s="301"/>
      <c r="B4" s="314"/>
      <c r="C4" s="314"/>
      <c r="D4" s="315"/>
      <c r="E4" s="302"/>
      <c r="F4" s="280"/>
      <c r="G4" s="43"/>
      <c r="H4" s="43"/>
      <c r="I4" s="43"/>
    </row>
    <row r="5" spans="1:9" ht="12">
      <c r="A5" s="242"/>
      <c r="B5" s="311" t="s">
        <v>283</v>
      </c>
      <c r="C5" s="316">
        <f>Assumptions!G18</f>
        <v>0.4</v>
      </c>
      <c r="D5" s="317">
        <f>Assumptions!H18</f>
        <v>5640</v>
      </c>
      <c r="E5" s="311" t="s">
        <v>286</v>
      </c>
      <c r="F5" s="280"/>
      <c r="G5" s="43"/>
      <c r="H5" s="43"/>
      <c r="I5" s="43"/>
    </row>
    <row r="6" spans="1:10" ht="12">
      <c r="A6" s="232"/>
      <c r="B6" s="309" t="s">
        <v>284</v>
      </c>
      <c r="C6" s="318">
        <f>Assumptions!G22</f>
        <v>0.6</v>
      </c>
      <c r="D6" s="317">
        <f>Assumptions!H22</f>
        <v>8460</v>
      </c>
      <c r="E6" s="311" t="s">
        <v>286</v>
      </c>
      <c r="F6" s="48"/>
      <c r="G6" s="57"/>
      <c r="H6" s="57"/>
      <c r="I6" s="57"/>
      <c r="J6" s="57"/>
    </row>
    <row r="7" spans="1:11" ht="12">
      <c r="A7" s="232"/>
      <c r="B7" s="309"/>
      <c r="C7" s="309"/>
      <c r="D7" s="309"/>
      <c r="E7" s="309"/>
      <c r="F7" s="48"/>
      <c r="G7" s="57"/>
      <c r="H7" s="57"/>
      <c r="I7" s="57"/>
      <c r="J7" s="57"/>
      <c r="K7" s="57"/>
    </row>
    <row r="8" spans="1:11" ht="12">
      <c r="A8" s="293" t="s">
        <v>287</v>
      </c>
      <c r="B8" s="307"/>
      <c r="C8" s="307"/>
      <c r="D8" s="294"/>
      <c r="E8" s="294"/>
      <c r="F8" s="57"/>
      <c r="G8" s="57"/>
      <c r="H8" s="57"/>
      <c r="I8" s="57"/>
      <c r="J8" s="57"/>
      <c r="K8" s="57"/>
    </row>
    <row r="9" spans="1:10" ht="12">
      <c r="A9" s="294"/>
      <c r="B9" s="312" t="s">
        <v>283</v>
      </c>
      <c r="C9" s="307"/>
      <c r="D9" s="313">
        <f>Assumptions!G20</f>
        <v>2.8333333333333335</v>
      </c>
      <c r="E9" s="312" t="s">
        <v>76</v>
      </c>
      <c r="F9" s="57"/>
      <c r="G9" s="57"/>
      <c r="H9" s="57"/>
      <c r="I9" s="57"/>
      <c r="J9" s="57"/>
    </row>
    <row r="10" spans="1:10" ht="12">
      <c r="A10" s="294"/>
      <c r="B10" s="307" t="s">
        <v>284</v>
      </c>
      <c r="C10" s="307"/>
      <c r="D10" s="313">
        <f>Assumptions!G24</f>
        <v>3.1666666666666665</v>
      </c>
      <c r="E10" s="312" t="s">
        <v>76</v>
      </c>
      <c r="F10" s="57"/>
      <c r="G10" s="57"/>
      <c r="H10" s="57"/>
      <c r="I10" s="57"/>
      <c r="J10" s="57"/>
    </row>
    <row r="11" spans="1:10" ht="12">
      <c r="A11" s="294"/>
      <c r="B11" s="307"/>
      <c r="C11" s="307"/>
      <c r="D11" s="294"/>
      <c r="E11" s="294"/>
      <c r="F11" s="57"/>
      <c r="G11" s="57"/>
      <c r="H11" s="57"/>
      <c r="I11" s="57"/>
      <c r="J11" s="57"/>
    </row>
    <row r="12" spans="1:10" ht="12">
      <c r="A12" s="308" t="s">
        <v>288</v>
      </c>
      <c r="B12" s="309"/>
      <c r="C12" s="309"/>
      <c r="D12" s="310">
        <f>(D9*D5)+(D10*D6)</f>
        <v>42770</v>
      </c>
      <c r="E12" s="302" t="s">
        <v>289</v>
      </c>
      <c r="F12" s="57"/>
      <c r="G12" s="57"/>
      <c r="H12" s="57"/>
      <c r="I12" s="57"/>
      <c r="J12" s="57"/>
    </row>
    <row r="13" spans="1:10" ht="12">
      <c r="A13" s="232"/>
      <c r="B13" s="309"/>
      <c r="C13" s="309"/>
      <c r="D13" s="232"/>
      <c r="E13" s="232"/>
      <c r="F13" s="57"/>
      <c r="G13" s="57"/>
      <c r="H13" s="57"/>
      <c r="I13" s="57"/>
      <c r="J13" s="57"/>
    </row>
    <row r="14" spans="1:18" ht="12">
      <c r="A14" s="303" t="s">
        <v>290</v>
      </c>
      <c r="B14" s="245"/>
      <c r="C14" s="245"/>
      <c r="D14" s="304">
        <f>ProductionSequence!P205</f>
        <v>23375.586685000002</v>
      </c>
      <c r="E14" s="305" t="s">
        <v>289</v>
      </c>
      <c r="M14" s="120"/>
      <c r="N14" s="161"/>
      <c r="O14" s="161"/>
      <c r="P14" s="120"/>
      <c r="Q14" s="162"/>
      <c r="R14" s="120"/>
    </row>
    <row r="15" spans="1:18" ht="12">
      <c r="A15" s="303"/>
      <c r="B15" s="245"/>
      <c r="C15" s="245"/>
      <c r="D15" s="304"/>
      <c r="E15" s="305"/>
      <c r="M15" s="120"/>
      <c r="N15" s="161"/>
      <c r="O15" s="161"/>
      <c r="P15" s="120"/>
      <c r="Q15" s="162"/>
      <c r="R15" s="120"/>
    </row>
    <row r="16" spans="1:18" ht="12">
      <c r="A16" s="245"/>
      <c r="B16" s="59" t="s">
        <v>36</v>
      </c>
      <c r="C16" s="245"/>
      <c r="D16" s="306">
        <f>ProductionSequence!H194</f>
        <v>1699.257935</v>
      </c>
      <c r="E16" s="59" t="s">
        <v>289</v>
      </c>
      <c r="M16" s="120"/>
      <c r="N16" s="161"/>
      <c r="O16" s="161"/>
      <c r="P16" s="120"/>
      <c r="Q16" s="162"/>
      <c r="R16" s="120"/>
    </row>
    <row r="17" spans="1:18" ht="12">
      <c r="A17" s="245"/>
      <c r="B17" s="59" t="s">
        <v>37</v>
      </c>
      <c r="C17" s="245"/>
      <c r="D17" s="306">
        <f>ProductionSequence!L194</f>
        <v>9736.980000000001</v>
      </c>
      <c r="E17" s="59" t="s">
        <v>289</v>
      </c>
      <c r="M17" s="120"/>
      <c r="N17" s="161"/>
      <c r="O17" s="120"/>
      <c r="P17" s="120"/>
      <c r="Q17" s="162"/>
      <c r="R17" s="120"/>
    </row>
    <row r="18" spans="1:18" ht="12">
      <c r="A18" s="245"/>
      <c r="B18" s="59" t="s">
        <v>38</v>
      </c>
      <c r="C18" s="245"/>
      <c r="D18" s="306">
        <f>ProductionSequence!O194</f>
        <v>7118.348749999998</v>
      </c>
      <c r="E18" s="59" t="s">
        <v>289</v>
      </c>
      <c r="M18" s="120"/>
      <c r="N18" s="161"/>
      <c r="O18" s="120"/>
      <c r="P18" s="120"/>
      <c r="Q18" s="162"/>
      <c r="R18" s="120"/>
    </row>
    <row r="19" spans="1:18" ht="12">
      <c r="A19" s="245"/>
      <c r="B19" s="59" t="s">
        <v>291</v>
      </c>
      <c r="C19" s="245"/>
      <c r="D19" s="306">
        <f>ProductionSequence!L203</f>
        <v>4821</v>
      </c>
      <c r="E19" s="59" t="s">
        <v>289</v>
      </c>
      <c r="M19" s="120"/>
      <c r="N19" s="161"/>
      <c r="O19" s="120"/>
      <c r="P19" s="120"/>
      <c r="Q19" s="162"/>
      <c r="R19" s="120"/>
    </row>
    <row r="20" spans="1:18" ht="12">
      <c r="A20" s="245"/>
      <c r="B20" s="245"/>
      <c r="C20" s="245"/>
      <c r="D20" s="245"/>
      <c r="E20" s="245"/>
      <c r="M20" s="120"/>
      <c r="N20" s="161"/>
      <c r="O20" s="161"/>
      <c r="P20" s="120"/>
      <c r="Q20" s="162"/>
      <c r="R20" s="120"/>
    </row>
    <row r="21" spans="1:18" ht="12">
      <c r="A21" s="319"/>
      <c r="B21" s="319"/>
      <c r="C21" s="319"/>
      <c r="D21" s="319"/>
      <c r="E21" s="319"/>
      <c r="M21" s="120"/>
      <c r="N21" s="161"/>
      <c r="O21" s="161"/>
      <c r="P21" s="120"/>
      <c r="Q21" s="162"/>
      <c r="R21" s="120"/>
    </row>
    <row r="22" spans="1:18" ht="12">
      <c r="A22" s="320" t="s">
        <v>292</v>
      </c>
      <c r="B22" s="321"/>
      <c r="C22" s="321"/>
      <c r="D22" s="322">
        <f>D12-D14</f>
        <v>19394.413314999998</v>
      </c>
      <c r="E22" s="323" t="s">
        <v>289</v>
      </c>
      <c r="M22" s="120"/>
      <c r="N22" s="120"/>
      <c r="O22" s="120"/>
      <c r="P22" s="120"/>
      <c r="Q22" s="120"/>
      <c r="R22" s="120"/>
    </row>
    <row r="23" spans="13:18" ht="12">
      <c r="M23" s="120"/>
      <c r="N23" s="120"/>
      <c r="O23" s="120"/>
      <c r="P23" s="120"/>
      <c r="Q23" s="120"/>
      <c r="R23" s="120"/>
    </row>
    <row r="24" spans="13:19" ht="12">
      <c r="M24" s="120"/>
      <c r="N24" s="161"/>
      <c r="O24" s="161"/>
      <c r="P24" s="161"/>
      <c r="Q24" s="161"/>
      <c r="R24" s="161"/>
      <c r="S24" s="61"/>
    </row>
    <row r="25" spans="13:19" ht="12">
      <c r="M25" s="120"/>
      <c r="N25" s="161"/>
      <c r="O25" s="161"/>
      <c r="P25" s="161"/>
      <c r="Q25" s="161"/>
      <c r="R25" s="161"/>
      <c r="S25" s="61"/>
    </row>
    <row r="26" spans="13:19" ht="12">
      <c r="M26" s="120"/>
      <c r="N26" s="161"/>
      <c r="O26" s="161"/>
      <c r="P26" s="161"/>
      <c r="Q26" s="161"/>
      <c r="R26" s="163"/>
      <c r="S26" s="5"/>
    </row>
    <row r="27" spans="13:19" ht="12">
      <c r="M27" s="120"/>
      <c r="N27" s="161"/>
      <c r="O27" s="161"/>
      <c r="P27" s="161"/>
      <c r="Q27" s="164"/>
      <c r="R27" s="163"/>
      <c r="S27" s="5"/>
    </row>
    <row r="28" spans="13:19" ht="12">
      <c r="M28" s="120"/>
      <c r="N28" s="161"/>
      <c r="O28" s="161"/>
      <c r="P28" s="161"/>
      <c r="Q28" s="164"/>
      <c r="R28" s="163"/>
      <c r="S28" s="5"/>
    </row>
    <row r="29" spans="13:19" ht="12">
      <c r="M29" s="120"/>
      <c r="N29" s="161"/>
      <c r="O29" s="161"/>
      <c r="P29" s="161"/>
      <c r="Q29" s="161"/>
      <c r="R29" s="163"/>
      <c r="S29" s="5"/>
    </row>
    <row r="30" spans="13:19" ht="12">
      <c r="M30" s="120"/>
      <c r="N30" s="120"/>
      <c r="O30" s="120"/>
      <c r="P30" s="120"/>
      <c r="Q30" s="165"/>
      <c r="R30" s="120"/>
      <c r="S30" s="66"/>
    </row>
    <row r="31" spans="13:18" ht="12">
      <c r="M31" s="120"/>
      <c r="N31" s="120"/>
      <c r="O31" s="120"/>
      <c r="P31" s="120"/>
      <c r="Q31" s="120"/>
      <c r="R31" s="120"/>
    </row>
  </sheetData>
  <sheetProtection password="ECAF" sheet="1" selectLockedCells="1"/>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rgb="FFFF0000"/>
  </sheetPr>
  <dimension ref="A1:W36"/>
  <sheetViews>
    <sheetView zoomScaleSheetLayoutView="100" workbookViewId="0" topLeftCell="A1">
      <selection activeCell="F17" sqref="F17"/>
    </sheetView>
  </sheetViews>
  <sheetFormatPr defaultColWidth="8.8515625" defaultRowHeight="12.75"/>
  <cols>
    <col min="1" max="1" width="23.28125" style="0" customWidth="1"/>
    <col min="2" max="2" width="12.28125" style="0" customWidth="1"/>
    <col min="3" max="6" width="9.28125" style="0" bestFit="1" customWidth="1"/>
    <col min="7" max="7" width="9.28125" style="0" hidden="1" customWidth="1"/>
    <col min="8" max="10" width="10.7109375" style="0" customWidth="1"/>
    <col min="11" max="11" width="9.28125" style="0" bestFit="1" customWidth="1"/>
    <col min="12" max="12" width="10.421875" style="0" customWidth="1"/>
    <col min="13" max="13" width="11.140625" style="0" bestFit="1" customWidth="1"/>
    <col min="14" max="14" width="12.28125" style="0" customWidth="1"/>
    <col min="15" max="15" width="12.140625" style="0" customWidth="1"/>
    <col min="16" max="16" width="11.8515625" style="0" customWidth="1"/>
    <col min="17" max="17" width="12.7109375" style="0" customWidth="1"/>
    <col min="18" max="18" width="24.7109375" style="0" customWidth="1"/>
  </cols>
  <sheetData>
    <row r="1" spans="1:17" ht="12">
      <c r="A1" s="14" t="s">
        <v>338</v>
      </c>
      <c r="B1" s="14"/>
      <c r="C1" s="15"/>
      <c r="D1" s="15"/>
      <c r="E1" s="8"/>
      <c r="F1" s="8"/>
      <c r="G1" s="9"/>
      <c r="H1" s="9"/>
      <c r="I1" s="9"/>
      <c r="J1" s="9"/>
      <c r="K1" s="9"/>
      <c r="L1" s="9"/>
      <c r="M1" s="9"/>
      <c r="N1" s="10"/>
      <c r="O1" s="10"/>
      <c r="P1" s="10"/>
      <c r="Q1" s="10"/>
    </row>
    <row r="2" spans="1:21" ht="12.75" thickBot="1">
      <c r="A2" s="121"/>
      <c r="B2" s="16"/>
      <c r="C2" s="17"/>
      <c r="D2" s="17"/>
      <c r="E2" s="17"/>
      <c r="F2" s="17"/>
      <c r="G2" s="18"/>
      <c r="H2" s="18"/>
      <c r="I2" s="18"/>
      <c r="J2" s="18"/>
      <c r="K2" s="18"/>
      <c r="L2" s="18"/>
      <c r="M2" s="18"/>
      <c r="N2" s="19"/>
      <c r="O2" s="19"/>
      <c r="P2" s="19"/>
      <c r="Q2" s="19"/>
      <c r="S2" s="381" t="s">
        <v>2</v>
      </c>
      <c r="T2" s="382"/>
      <c r="U2" s="382"/>
    </row>
    <row r="3" spans="1:21" ht="36.75" customHeight="1" thickBot="1" thickTop="1">
      <c r="A3" s="76" t="s">
        <v>43</v>
      </c>
      <c r="B3" s="107"/>
      <c r="C3" s="105" t="s">
        <v>44</v>
      </c>
      <c r="D3" s="105" t="s">
        <v>45</v>
      </c>
      <c r="E3" s="105" t="s">
        <v>46</v>
      </c>
      <c r="F3" s="77" t="s">
        <v>75</v>
      </c>
      <c r="G3" s="77" t="s">
        <v>47</v>
      </c>
      <c r="H3" s="110" t="s">
        <v>88</v>
      </c>
      <c r="I3" s="105" t="s">
        <v>85</v>
      </c>
      <c r="J3" s="105" t="s">
        <v>49</v>
      </c>
      <c r="K3" s="105" t="s">
        <v>48</v>
      </c>
      <c r="L3" s="105" t="s">
        <v>18</v>
      </c>
      <c r="M3" s="105" t="s">
        <v>50</v>
      </c>
      <c r="N3" s="105" t="s">
        <v>90</v>
      </c>
      <c r="O3" s="105" t="s">
        <v>89</v>
      </c>
      <c r="P3" s="105" t="s">
        <v>51</v>
      </c>
      <c r="Q3" s="106" t="s">
        <v>91</v>
      </c>
      <c r="R3" s="80" t="s">
        <v>43</v>
      </c>
      <c r="S3" s="103" t="s">
        <v>86</v>
      </c>
      <c r="T3" s="103" t="s">
        <v>87</v>
      </c>
      <c r="U3" s="104" t="s">
        <v>92</v>
      </c>
    </row>
    <row r="4" spans="1:22" ht="13.5" thickBot="1" thickTop="1">
      <c r="A4" s="69" t="s">
        <v>52</v>
      </c>
      <c r="B4" s="82" t="s">
        <v>53</v>
      </c>
      <c r="C4" s="356">
        <v>12500</v>
      </c>
      <c r="D4" s="83">
        <f>C4*0.22</f>
        <v>2750</v>
      </c>
      <c r="E4" s="359">
        <v>20</v>
      </c>
      <c r="F4" s="359">
        <v>500</v>
      </c>
      <c r="G4" s="67">
        <f aca="true" t="shared" si="0" ref="G4:H20">($C4-$D4)/$E4</f>
        <v>487.5</v>
      </c>
      <c r="H4" s="108">
        <f>($C4-$D4)/$E4</f>
        <v>487.5</v>
      </c>
      <c r="I4" s="109">
        <f aca="true" t="shared" si="1" ref="I4:I20">D4*0.09+H4*0.05</f>
        <v>271.875</v>
      </c>
      <c r="J4" s="83">
        <f>($C4+$D4)/2*Assumptions!G37</f>
        <v>381.25</v>
      </c>
      <c r="K4" s="83">
        <f>($C4+$D4)/2*Assumptions!G38</f>
        <v>76.25</v>
      </c>
      <c r="L4" s="83">
        <f>($C4+$D4)/2*Assumptions!G39</f>
        <v>76.25</v>
      </c>
      <c r="M4" s="83">
        <f>H4+J4+K4+L4</f>
        <v>1021.25</v>
      </c>
      <c r="N4" s="90">
        <f>(0.4*C4)/E4</f>
        <v>250</v>
      </c>
      <c r="O4" s="91">
        <f>(Assumptions!C44*Assumptions!B44*F4)+((Assumptions!C44*Assumptions!B44*F4)*Assumptions!D44)</f>
        <v>2677.5</v>
      </c>
      <c r="P4" s="96">
        <f>SUM($N4:$O4)</f>
        <v>2927.5</v>
      </c>
      <c r="Q4" s="99">
        <f aca="true" t="shared" si="2" ref="Q4:Q20">$M4+$P4</f>
        <v>3948.75</v>
      </c>
      <c r="R4" s="69" t="str">
        <f>A4</f>
        <v>Tractor, 30hp</v>
      </c>
      <c r="S4" s="98">
        <f aca="true" t="shared" si="3" ref="S4:S20">(M4)/F4</f>
        <v>2.0425</v>
      </c>
      <c r="T4" s="73">
        <f aca="true" t="shared" si="4" ref="T4:T20">(P4)/F4</f>
        <v>5.855</v>
      </c>
      <c r="U4" s="68">
        <f aca="true" t="shared" si="5" ref="U4:U20">S4+T4</f>
        <v>7.897500000000001</v>
      </c>
      <c r="V4" s="12"/>
    </row>
    <row r="5" spans="1:22" ht="13.5" thickBot="1" thickTop="1">
      <c r="A5" s="71" t="s">
        <v>54</v>
      </c>
      <c r="B5" s="85" t="s">
        <v>55</v>
      </c>
      <c r="C5" s="357">
        <v>24400</v>
      </c>
      <c r="D5" s="83">
        <f>C5*0.22</f>
        <v>5368</v>
      </c>
      <c r="E5" s="360">
        <v>20</v>
      </c>
      <c r="F5" s="360">
        <v>500</v>
      </c>
      <c r="G5" s="70">
        <f t="shared" si="0"/>
        <v>951.6</v>
      </c>
      <c r="H5" s="75">
        <f t="shared" si="0"/>
        <v>951.6</v>
      </c>
      <c r="I5" s="88">
        <f t="shared" si="1"/>
        <v>530.7</v>
      </c>
      <c r="J5" s="86">
        <f>($C5+$D5)/2*Assumptions!G37</f>
        <v>744.2</v>
      </c>
      <c r="K5" s="86">
        <f>($C5+$D5)/2*Assumptions!G38</f>
        <v>148.84</v>
      </c>
      <c r="L5" s="86">
        <f>($C5+$D5)/2*Assumptions!G39</f>
        <v>148.84</v>
      </c>
      <c r="M5" s="86">
        <f>H5+J5+K5+L5</f>
        <v>1993.48</v>
      </c>
      <c r="N5" s="92">
        <f>(0.4*C5)/E5</f>
        <v>488</v>
      </c>
      <c r="O5" s="93">
        <f>(Assumptions!C45*Assumptions!B45*F5)+((Assumptions!C45*Assumptions!B45*F5)*Assumptions!D45)</f>
        <v>4462.5</v>
      </c>
      <c r="P5" s="100">
        <f aca="true" t="shared" si="6" ref="P5:P18">SUM($N5:$O5)</f>
        <v>4950.5</v>
      </c>
      <c r="Q5" s="101">
        <f t="shared" si="2"/>
        <v>6943.98</v>
      </c>
      <c r="R5" s="71" t="str">
        <f>A5</f>
        <v>Tractor, 60hp</v>
      </c>
      <c r="S5" s="102">
        <f t="shared" si="3"/>
        <v>3.98696</v>
      </c>
      <c r="T5" s="73">
        <f t="shared" si="4"/>
        <v>9.901</v>
      </c>
      <c r="U5" s="81">
        <f t="shared" si="5"/>
        <v>13.88796</v>
      </c>
      <c r="V5" s="12"/>
    </row>
    <row r="6" spans="1:22" ht="13.5" thickBot="1" thickTop="1">
      <c r="A6" s="71" t="s">
        <v>304</v>
      </c>
      <c r="B6" s="85"/>
      <c r="C6" s="357">
        <v>3500</v>
      </c>
      <c r="D6" s="83">
        <f>C6*0.22</f>
        <v>770</v>
      </c>
      <c r="E6" s="360">
        <v>20</v>
      </c>
      <c r="F6" s="360">
        <v>100</v>
      </c>
      <c r="G6" s="70">
        <f t="shared" si="0"/>
        <v>136.5</v>
      </c>
      <c r="H6" s="75">
        <f t="shared" si="0"/>
        <v>136.5</v>
      </c>
      <c r="I6" s="88">
        <f t="shared" si="1"/>
        <v>76.125</v>
      </c>
      <c r="J6" s="86">
        <f>($C6+$D6)/2*Assumptions!G37</f>
        <v>106.75</v>
      </c>
      <c r="K6" s="86">
        <f>($C6+$D6)/2*Assumptions!G38</f>
        <v>21.35</v>
      </c>
      <c r="L6" s="86">
        <f>($C6+$D6)/2*Assumptions!G39</f>
        <v>21.35</v>
      </c>
      <c r="M6" s="86">
        <f>H6+J6+K6+L6</f>
        <v>285.95000000000005</v>
      </c>
      <c r="N6" s="92">
        <f>(0.4*C6)/E6</f>
        <v>70</v>
      </c>
      <c r="O6" s="93">
        <v>0</v>
      </c>
      <c r="P6" s="100">
        <f t="shared" si="6"/>
        <v>70</v>
      </c>
      <c r="Q6" s="101">
        <f t="shared" si="2"/>
        <v>355.95000000000005</v>
      </c>
      <c r="R6" s="71" t="str">
        <f>A6</f>
        <v>Compost spreader</v>
      </c>
      <c r="S6" s="102">
        <f t="shared" si="3"/>
        <v>2.8595000000000006</v>
      </c>
      <c r="T6" s="73">
        <f t="shared" si="4"/>
        <v>0.7</v>
      </c>
      <c r="U6" s="81">
        <f t="shared" si="5"/>
        <v>3.5595000000000008</v>
      </c>
      <c r="V6" s="12"/>
    </row>
    <row r="7" spans="1:22" ht="12.75" thickTop="1">
      <c r="A7" s="71" t="s">
        <v>322</v>
      </c>
      <c r="B7" s="85"/>
      <c r="C7" s="357">
        <v>2600</v>
      </c>
      <c r="D7" s="83">
        <f>C7*0.22</f>
        <v>572</v>
      </c>
      <c r="E7" s="360">
        <v>12</v>
      </c>
      <c r="F7" s="360">
        <v>125</v>
      </c>
      <c r="G7" s="70">
        <f t="shared" si="0"/>
        <v>169</v>
      </c>
      <c r="H7" s="75">
        <f t="shared" si="0"/>
        <v>169</v>
      </c>
      <c r="I7" s="88">
        <f t="shared" si="1"/>
        <v>59.93</v>
      </c>
      <c r="J7" s="86">
        <f>($C7+$D7)/2*Assumptions!G37</f>
        <v>79.30000000000001</v>
      </c>
      <c r="K7" s="86">
        <f>($C7+$D7)/2*Assumptions!G38</f>
        <v>15.860000000000001</v>
      </c>
      <c r="L7" s="86">
        <f>($C7+$D7)/2*Assumptions!G39</f>
        <v>15.860000000000001</v>
      </c>
      <c r="M7" s="86">
        <f>H7+J7+K7+L7</f>
        <v>280.02000000000004</v>
      </c>
      <c r="N7" s="92">
        <f>(0.4*C7)/E7</f>
        <v>86.66666666666667</v>
      </c>
      <c r="O7" s="93">
        <v>0</v>
      </c>
      <c r="P7" s="100">
        <f t="shared" si="6"/>
        <v>86.66666666666667</v>
      </c>
      <c r="Q7" s="101">
        <f t="shared" si="2"/>
        <v>366.6866666666667</v>
      </c>
      <c r="R7" s="71" t="str">
        <f>A7</f>
        <v>Bush hog</v>
      </c>
      <c r="S7" s="102">
        <f t="shared" si="3"/>
        <v>2.2401600000000004</v>
      </c>
      <c r="T7" s="73">
        <f t="shared" si="4"/>
        <v>0.6933333333333334</v>
      </c>
      <c r="U7" s="81">
        <f t="shared" si="5"/>
        <v>2.9334933333333337</v>
      </c>
      <c r="V7" s="12"/>
    </row>
    <row r="8" spans="1:22" ht="12.75" thickBot="1">
      <c r="A8" s="71" t="s">
        <v>321</v>
      </c>
      <c r="B8" s="85"/>
      <c r="C8" s="357">
        <v>10</v>
      </c>
      <c r="D8" s="86">
        <v>0</v>
      </c>
      <c r="E8" s="360">
        <v>3</v>
      </c>
      <c r="F8" s="360">
        <v>10</v>
      </c>
      <c r="G8" s="70">
        <f t="shared" si="0"/>
        <v>3.3333333333333335</v>
      </c>
      <c r="H8" s="75">
        <f t="shared" si="0"/>
        <v>3.3333333333333335</v>
      </c>
      <c r="I8" s="88">
        <f t="shared" si="1"/>
        <v>0.16666666666666669</v>
      </c>
      <c r="J8" s="86">
        <f>($C8+$D8)/2*Assumptions!G37</f>
        <v>0.25</v>
      </c>
      <c r="K8" s="86">
        <v>0</v>
      </c>
      <c r="L8" s="86">
        <v>0</v>
      </c>
      <c r="M8" s="86">
        <v>0</v>
      </c>
      <c r="N8" s="92">
        <f>(0.4*C8)/E8</f>
        <v>1.3333333333333333</v>
      </c>
      <c r="O8" s="93">
        <v>0</v>
      </c>
      <c r="P8" s="100">
        <f t="shared" si="6"/>
        <v>1.3333333333333333</v>
      </c>
      <c r="Q8" s="101">
        <f t="shared" si="2"/>
        <v>1.3333333333333333</v>
      </c>
      <c r="R8" s="71" t="str">
        <f>A8</f>
        <v>Hand sprayer</v>
      </c>
      <c r="S8" s="102">
        <f t="shared" si="3"/>
        <v>0</v>
      </c>
      <c r="T8" s="73">
        <f t="shared" si="4"/>
        <v>0.13333333333333333</v>
      </c>
      <c r="U8" s="81">
        <f t="shared" si="5"/>
        <v>0.13333333333333333</v>
      </c>
      <c r="V8" s="12"/>
    </row>
    <row r="9" spans="1:22" ht="13.5" thickBot="1" thickTop="1">
      <c r="A9" s="71" t="s">
        <v>219</v>
      </c>
      <c r="B9" s="85" t="s">
        <v>62</v>
      </c>
      <c r="C9" s="357">
        <v>6000</v>
      </c>
      <c r="D9" s="83">
        <f aca="true" t="shared" si="7" ref="D9:D17">C9*0.22</f>
        <v>1320</v>
      </c>
      <c r="E9" s="360">
        <v>12</v>
      </c>
      <c r="F9" s="360">
        <v>125</v>
      </c>
      <c r="G9" s="70">
        <f t="shared" si="0"/>
        <v>390</v>
      </c>
      <c r="H9" s="75">
        <f t="shared" si="0"/>
        <v>390</v>
      </c>
      <c r="I9" s="88">
        <f t="shared" si="1"/>
        <v>138.3</v>
      </c>
      <c r="J9" s="86">
        <f>($C9+$D9)/2*Assumptions!G37</f>
        <v>183</v>
      </c>
      <c r="K9" s="86">
        <f>($C9+$D9)/2*Assumptions!G38</f>
        <v>36.6</v>
      </c>
      <c r="L9" s="86">
        <f>($C9+$D9)/2*Assumptions!G39</f>
        <v>36.6</v>
      </c>
      <c r="M9" s="86">
        <f aca="true" t="shared" si="8" ref="M9:M20">H9+J9+K9+L9</f>
        <v>646.2</v>
      </c>
      <c r="N9" s="92">
        <f aca="true" t="shared" si="9" ref="N9:N20">(0.4*C9)/E9</f>
        <v>200</v>
      </c>
      <c r="O9" s="93">
        <v>0</v>
      </c>
      <c r="P9" s="100">
        <f t="shared" si="6"/>
        <v>200</v>
      </c>
      <c r="Q9" s="101">
        <f t="shared" si="2"/>
        <v>846.2</v>
      </c>
      <c r="R9" s="71" t="str">
        <f aca="true" t="shared" si="10" ref="R9:R20">A9</f>
        <v>PTO Blast Sprayer</v>
      </c>
      <c r="S9" s="102">
        <f t="shared" si="3"/>
        <v>5.1696</v>
      </c>
      <c r="T9" s="73">
        <f t="shared" si="4"/>
        <v>1.6</v>
      </c>
      <c r="U9" s="81">
        <f t="shared" si="5"/>
        <v>6.7696000000000005</v>
      </c>
      <c r="V9" s="12"/>
    </row>
    <row r="10" spans="1:22" ht="13.5" thickBot="1" thickTop="1">
      <c r="A10" s="71" t="s">
        <v>115</v>
      </c>
      <c r="B10" s="85" t="s">
        <v>2</v>
      </c>
      <c r="C10" s="357">
        <v>2000</v>
      </c>
      <c r="D10" s="83">
        <f t="shared" si="7"/>
        <v>440</v>
      </c>
      <c r="E10" s="360">
        <v>15</v>
      </c>
      <c r="F10" s="361">
        <v>75</v>
      </c>
      <c r="G10" s="70">
        <f t="shared" si="0"/>
        <v>104</v>
      </c>
      <c r="H10" s="75">
        <f t="shared" si="0"/>
        <v>104</v>
      </c>
      <c r="I10" s="88">
        <f t="shared" si="1"/>
        <v>44.800000000000004</v>
      </c>
      <c r="J10" s="86">
        <f>($C10+$D10)/2*Assumptions!G37</f>
        <v>61</v>
      </c>
      <c r="K10" s="86">
        <f>($C10+$D10)/2*Assumptions!G38</f>
        <v>12.200000000000001</v>
      </c>
      <c r="L10" s="86">
        <f>($C10+$D10)/2*Assumptions!G39</f>
        <v>12.200000000000001</v>
      </c>
      <c r="M10" s="86">
        <f t="shared" si="8"/>
        <v>189.39999999999998</v>
      </c>
      <c r="N10" s="92">
        <f t="shared" si="9"/>
        <v>53.333333333333336</v>
      </c>
      <c r="O10" s="93">
        <v>0</v>
      </c>
      <c r="P10" s="100">
        <f t="shared" si="6"/>
        <v>53.333333333333336</v>
      </c>
      <c r="Q10" s="101">
        <f t="shared" si="2"/>
        <v>242.73333333333332</v>
      </c>
      <c r="R10" s="71" t="str">
        <f t="shared" si="10"/>
        <v>Plastic Mulch Lifter</v>
      </c>
      <c r="S10" s="102">
        <f t="shared" si="3"/>
        <v>2.525333333333333</v>
      </c>
      <c r="T10" s="73">
        <f t="shared" si="4"/>
        <v>0.7111111111111111</v>
      </c>
      <c r="U10" s="81">
        <f t="shared" si="5"/>
        <v>3.2364444444444445</v>
      </c>
      <c r="V10" s="48"/>
    </row>
    <row r="11" spans="1:22" ht="13.5" thickBot="1" thickTop="1">
      <c r="A11" s="71" t="s">
        <v>56</v>
      </c>
      <c r="B11" s="85" t="s">
        <v>61</v>
      </c>
      <c r="C11" s="357">
        <v>5000</v>
      </c>
      <c r="D11" s="83">
        <f t="shared" si="7"/>
        <v>1100</v>
      </c>
      <c r="E11" s="360">
        <v>15</v>
      </c>
      <c r="F11" s="360">
        <v>125</v>
      </c>
      <c r="G11" s="70">
        <f aca="true" t="shared" si="11" ref="G11:G18">($C11-$D11)/$E11</f>
        <v>260</v>
      </c>
      <c r="H11" s="75">
        <f t="shared" si="0"/>
        <v>260</v>
      </c>
      <c r="I11" s="88">
        <f t="shared" si="1"/>
        <v>112</v>
      </c>
      <c r="J11" s="86">
        <f>($C11+$D11)/2*Assumptions!G37</f>
        <v>152.5</v>
      </c>
      <c r="K11" s="86">
        <f>($C11+$D11)/2*Assumptions!G38</f>
        <v>30.5</v>
      </c>
      <c r="L11" s="86">
        <f>($C11+$D11)/2*Assumptions!G39</f>
        <v>30.5</v>
      </c>
      <c r="M11" s="86">
        <f t="shared" si="8"/>
        <v>473.5</v>
      </c>
      <c r="N11" s="92">
        <f t="shared" si="9"/>
        <v>133.33333333333334</v>
      </c>
      <c r="O11" s="93">
        <v>0</v>
      </c>
      <c r="P11" s="100">
        <f t="shared" si="6"/>
        <v>133.33333333333334</v>
      </c>
      <c r="Q11" s="101">
        <f t="shared" si="2"/>
        <v>606.8333333333334</v>
      </c>
      <c r="R11" s="71" t="str">
        <f t="shared" si="10"/>
        <v>9' Disc</v>
      </c>
      <c r="S11" s="102">
        <f t="shared" si="3"/>
        <v>3.788</v>
      </c>
      <c r="T11" s="73">
        <f t="shared" si="4"/>
        <v>1.0666666666666667</v>
      </c>
      <c r="U11" s="81">
        <f t="shared" si="5"/>
        <v>4.854666666666667</v>
      </c>
      <c r="V11" s="12"/>
    </row>
    <row r="12" spans="1:22" ht="13.5" thickBot="1" thickTop="1">
      <c r="A12" s="71" t="s">
        <v>111</v>
      </c>
      <c r="B12" s="85" t="s">
        <v>2</v>
      </c>
      <c r="C12" s="357">
        <v>300</v>
      </c>
      <c r="D12" s="83">
        <f t="shared" si="7"/>
        <v>66</v>
      </c>
      <c r="E12" s="360">
        <v>15</v>
      </c>
      <c r="F12" s="360">
        <v>125</v>
      </c>
      <c r="G12" s="70">
        <f t="shared" si="11"/>
        <v>15.6</v>
      </c>
      <c r="H12" s="75">
        <f t="shared" si="0"/>
        <v>15.6</v>
      </c>
      <c r="I12" s="88">
        <f t="shared" si="1"/>
        <v>6.72</v>
      </c>
      <c r="J12" s="86">
        <f>($C12+$D12)/2*Assumptions!G37</f>
        <v>9.15</v>
      </c>
      <c r="K12" s="86">
        <f>($C12+$D12)/2*Assumptions!G38</f>
        <v>1.83</v>
      </c>
      <c r="L12" s="86">
        <f>($C12+$D12)/2*Assumptions!G39</f>
        <v>1.83</v>
      </c>
      <c r="M12" s="86">
        <f t="shared" si="8"/>
        <v>28.409999999999997</v>
      </c>
      <c r="N12" s="92">
        <f t="shared" si="9"/>
        <v>8</v>
      </c>
      <c r="O12" s="93">
        <v>0</v>
      </c>
      <c r="P12" s="100">
        <f t="shared" si="6"/>
        <v>8</v>
      </c>
      <c r="Q12" s="101">
        <f t="shared" si="2"/>
        <v>36.41</v>
      </c>
      <c r="R12" s="71" t="str">
        <f t="shared" si="10"/>
        <v>Subsoiler</v>
      </c>
      <c r="S12" s="102">
        <f t="shared" si="3"/>
        <v>0.22727999999999998</v>
      </c>
      <c r="T12" s="73">
        <f t="shared" si="4"/>
        <v>0.064</v>
      </c>
      <c r="U12" s="81">
        <f t="shared" si="5"/>
        <v>0.29128</v>
      </c>
      <c r="V12" s="12"/>
    </row>
    <row r="13" spans="1:22" ht="13.5" thickBot="1" thickTop="1">
      <c r="A13" s="71" t="s">
        <v>112</v>
      </c>
      <c r="B13" s="85" t="s">
        <v>2</v>
      </c>
      <c r="C13" s="357">
        <v>1000</v>
      </c>
      <c r="D13" s="83">
        <f t="shared" si="7"/>
        <v>220</v>
      </c>
      <c r="E13" s="360">
        <v>15</v>
      </c>
      <c r="F13" s="360">
        <v>100</v>
      </c>
      <c r="G13" s="70">
        <f t="shared" si="11"/>
        <v>52</v>
      </c>
      <c r="H13" s="75">
        <f t="shared" si="0"/>
        <v>52</v>
      </c>
      <c r="I13" s="88">
        <f t="shared" si="1"/>
        <v>22.400000000000002</v>
      </c>
      <c r="J13" s="86">
        <f>($C13+$D13)/2*Assumptions!G37</f>
        <v>30.5</v>
      </c>
      <c r="K13" s="86">
        <f>($C13+$D13)/2*Assumptions!G38</f>
        <v>6.1000000000000005</v>
      </c>
      <c r="L13" s="86">
        <f>($C13+$D13)/2*Assumptions!G39</f>
        <v>6.1000000000000005</v>
      </c>
      <c r="M13" s="86">
        <f t="shared" si="8"/>
        <v>94.69999999999999</v>
      </c>
      <c r="N13" s="92">
        <f t="shared" si="9"/>
        <v>26.666666666666668</v>
      </c>
      <c r="O13" s="93">
        <v>0</v>
      </c>
      <c r="P13" s="100">
        <f t="shared" si="6"/>
        <v>26.666666666666668</v>
      </c>
      <c r="Q13" s="101">
        <f t="shared" si="2"/>
        <v>121.36666666666666</v>
      </c>
      <c r="R13" s="71" t="str">
        <f t="shared" si="10"/>
        <v>Rotary Spreader</v>
      </c>
      <c r="S13" s="102">
        <f t="shared" si="3"/>
        <v>0.9469999999999998</v>
      </c>
      <c r="T13" s="73">
        <f t="shared" si="4"/>
        <v>0.26666666666666666</v>
      </c>
      <c r="U13" s="81">
        <f t="shared" si="5"/>
        <v>1.2136666666666664</v>
      </c>
      <c r="V13" s="12"/>
    </row>
    <row r="14" spans="1:22" ht="13.5" thickBot="1" thickTop="1">
      <c r="A14" s="71" t="s">
        <v>116</v>
      </c>
      <c r="B14" s="85" t="s">
        <v>2</v>
      </c>
      <c r="C14" s="357">
        <v>5000</v>
      </c>
      <c r="D14" s="83">
        <f t="shared" si="7"/>
        <v>1100</v>
      </c>
      <c r="E14" s="360">
        <v>15</v>
      </c>
      <c r="F14" s="360">
        <v>100</v>
      </c>
      <c r="G14" s="70">
        <f t="shared" si="11"/>
        <v>260</v>
      </c>
      <c r="H14" s="75">
        <f t="shared" si="0"/>
        <v>260</v>
      </c>
      <c r="I14" s="88">
        <f t="shared" si="1"/>
        <v>112</v>
      </c>
      <c r="J14" s="86">
        <f>($C14+$D14)/2*Assumptions!G37</f>
        <v>152.5</v>
      </c>
      <c r="K14" s="86">
        <f>($C14+$D14)/2*Assumptions!G38</f>
        <v>30.5</v>
      </c>
      <c r="L14" s="86">
        <f>($C14+$D14)/2*Assumptions!G39</f>
        <v>30.5</v>
      </c>
      <c r="M14" s="86">
        <f t="shared" si="8"/>
        <v>473.5</v>
      </c>
      <c r="N14" s="92">
        <f t="shared" si="9"/>
        <v>133.33333333333334</v>
      </c>
      <c r="O14" s="93">
        <v>0</v>
      </c>
      <c r="P14" s="100">
        <f t="shared" si="6"/>
        <v>133.33333333333334</v>
      </c>
      <c r="Q14" s="101">
        <f t="shared" si="2"/>
        <v>606.8333333333334</v>
      </c>
      <c r="R14" s="71" t="str">
        <f>A14</f>
        <v>Grain Drill</v>
      </c>
      <c r="S14" s="102">
        <f t="shared" si="3"/>
        <v>4.735</v>
      </c>
      <c r="T14" s="73">
        <f t="shared" si="4"/>
        <v>1.3333333333333335</v>
      </c>
      <c r="U14" s="81">
        <f t="shared" si="5"/>
        <v>6.068333333333333</v>
      </c>
      <c r="V14" s="12"/>
    </row>
    <row r="15" spans="1:22" ht="13.5" thickBot="1" thickTop="1">
      <c r="A15" s="71" t="s">
        <v>123</v>
      </c>
      <c r="B15" s="85"/>
      <c r="C15" s="357">
        <v>3500</v>
      </c>
      <c r="D15" s="83">
        <f t="shared" si="7"/>
        <v>770</v>
      </c>
      <c r="E15" s="360">
        <v>15</v>
      </c>
      <c r="F15" s="360">
        <v>100</v>
      </c>
      <c r="G15" s="70">
        <f t="shared" si="11"/>
        <v>182</v>
      </c>
      <c r="H15" s="75">
        <f t="shared" si="0"/>
        <v>182</v>
      </c>
      <c r="I15" s="88">
        <f t="shared" si="1"/>
        <v>78.39999999999999</v>
      </c>
      <c r="J15" s="86">
        <f>($C15+$D15)/2*Assumptions!G37</f>
        <v>106.75</v>
      </c>
      <c r="K15" s="86">
        <f>($C15+$D15)/2*Assumptions!G38</f>
        <v>21.35</v>
      </c>
      <c r="L15" s="86">
        <f>($C15+$D15)/2*Assumptions!G39</f>
        <v>21.35</v>
      </c>
      <c r="M15" s="86">
        <f t="shared" si="8"/>
        <v>331.45000000000005</v>
      </c>
      <c r="N15" s="92">
        <f t="shared" si="9"/>
        <v>93.33333333333333</v>
      </c>
      <c r="O15" s="93">
        <v>0</v>
      </c>
      <c r="P15" s="100">
        <f t="shared" si="6"/>
        <v>93.33333333333333</v>
      </c>
      <c r="Q15" s="101">
        <f t="shared" si="2"/>
        <v>424.78333333333336</v>
      </c>
      <c r="R15" s="71" t="str">
        <f>A15</f>
        <v>Rototiller</v>
      </c>
      <c r="S15" s="102">
        <f t="shared" si="3"/>
        <v>3.3145000000000007</v>
      </c>
      <c r="T15" s="73">
        <f t="shared" si="4"/>
        <v>0.9333333333333332</v>
      </c>
      <c r="U15" s="81">
        <f t="shared" si="5"/>
        <v>4.247833333333334</v>
      </c>
      <c r="V15" s="12"/>
    </row>
    <row r="16" spans="1:22" ht="13.5" thickBot="1" thickTop="1">
      <c r="A16" s="71" t="s">
        <v>340</v>
      </c>
      <c r="B16" s="85"/>
      <c r="C16" s="357">
        <v>7000</v>
      </c>
      <c r="D16" s="83">
        <f t="shared" si="7"/>
        <v>1540</v>
      </c>
      <c r="E16" s="360">
        <v>20</v>
      </c>
      <c r="F16" s="360">
        <v>40</v>
      </c>
      <c r="G16" s="70">
        <f t="shared" si="11"/>
        <v>273</v>
      </c>
      <c r="H16" s="75">
        <f t="shared" si="0"/>
        <v>273</v>
      </c>
      <c r="I16" s="88">
        <f t="shared" si="1"/>
        <v>152.25</v>
      </c>
      <c r="J16" s="86">
        <f>($C16+$D16)/2*Assumptions!G37</f>
        <v>213.5</v>
      </c>
      <c r="K16" s="86">
        <f>($C16+$D16)/2*Assumptions!G38</f>
        <v>42.7</v>
      </c>
      <c r="L16" s="86">
        <f>($C16+$D16)/2*Assumptions!G39</f>
        <v>42.7</v>
      </c>
      <c r="M16" s="86">
        <f t="shared" si="8"/>
        <v>571.9000000000001</v>
      </c>
      <c r="N16" s="92">
        <f t="shared" si="9"/>
        <v>140</v>
      </c>
      <c r="O16" s="93">
        <v>0</v>
      </c>
      <c r="P16" s="100">
        <f t="shared" si="6"/>
        <v>140</v>
      </c>
      <c r="Q16" s="101">
        <f t="shared" si="2"/>
        <v>711.9000000000001</v>
      </c>
      <c r="R16" s="71" t="str">
        <f t="shared" si="10"/>
        <v>Plastic Layer, Bed Shaper</v>
      </c>
      <c r="S16" s="102">
        <f t="shared" si="3"/>
        <v>14.297500000000003</v>
      </c>
      <c r="T16" s="73">
        <f t="shared" si="4"/>
        <v>3.5</v>
      </c>
      <c r="U16" s="81">
        <f t="shared" si="5"/>
        <v>17.797500000000003</v>
      </c>
      <c r="V16" s="12"/>
    </row>
    <row r="17" spans="1:22" ht="13.5" thickBot="1" thickTop="1">
      <c r="A17" s="71" t="s">
        <v>347</v>
      </c>
      <c r="B17" s="85"/>
      <c r="C17" s="357">
        <v>400</v>
      </c>
      <c r="D17" s="83">
        <f t="shared" si="7"/>
        <v>88</v>
      </c>
      <c r="E17" s="360">
        <v>10</v>
      </c>
      <c r="F17" s="360">
        <v>100</v>
      </c>
      <c r="G17" s="70">
        <f t="shared" si="11"/>
        <v>31.2</v>
      </c>
      <c r="H17" s="75">
        <f t="shared" si="0"/>
        <v>31.2</v>
      </c>
      <c r="I17" s="88">
        <f t="shared" si="1"/>
        <v>9.48</v>
      </c>
      <c r="J17" s="86">
        <v>0</v>
      </c>
      <c r="K17" s="86">
        <v>0</v>
      </c>
      <c r="L17" s="86">
        <v>0</v>
      </c>
      <c r="M17" s="86">
        <v>0</v>
      </c>
      <c r="N17" s="92">
        <f>(0.4*C17)/E17</f>
        <v>16</v>
      </c>
      <c r="O17" s="93">
        <v>100</v>
      </c>
      <c r="P17" s="100">
        <f t="shared" si="6"/>
        <v>116</v>
      </c>
      <c r="Q17" s="101">
        <f t="shared" si="2"/>
        <v>116</v>
      </c>
      <c r="R17" s="71" t="str">
        <f t="shared" si="10"/>
        <v>Mover</v>
      </c>
      <c r="S17" s="102">
        <f>(M17)/F17</f>
        <v>0</v>
      </c>
      <c r="T17" s="73">
        <f>(P17)/F17</f>
        <v>1.16</v>
      </c>
      <c r="U17" s="81">
        <f>S17+T17</f>
        <v>1.16</v>
      </c>
      <c r="V17" s="12"/>
    </row>
    <row r="18" spans="1:22" ht="13.5" thickBot="1" thickTop="1">
      <c r="A18" s="72" t="s">
        <v>58</v>
      </c>
      <c r="B18" s="87">
        <v>400</v>
      </c>
      <c r="C18" s="357">
        <v>400</v>
      </c>
      <c r="D18" s="83">
        <f>C18*0.22</f>
        <v>88</v>
      </c>
      <c r="E18" s="360">
        <v>10</v>
      </c>
      <c r="F18" s="360">
        <v>150</v>
      </c>
      <c r="G18" s="70">
        <f t="shared" si="11"/>
        <v>31.2</v>
      </c>
      <c r="H18" s="75">
        <f t="shared" si="0"/>
        <v>31.2</v>
      </c>
      <c r="I18" s="88">
        <f t="shared" si="1"/>
        <v>9.48</v>
      </c>
      <c r="J18" s="86">
        <f>($C18+$D18)/2*Assumptions!G37</f>
        <v>12.200000000000001</v>
      </c>
      <c r="K18" s="86">
        <f>($C18+$D18)/2*Assumptions!G38</f>
        <v>2.44</v>
      </c>
      <c r="L18" s="86">
        <f>($C18+$D18)/2*Assumptions!G39</f>
        <v>2.44</v>
      </c>
      <c r="M18" s="86">
        <f t="shared" si="8"/>
        <v>48.279999999999994</v>
      </c>
      <c r="N18" s="92">
        <f t="shared" si="9"/>
        <v>16</v>
      </c>
      <c r="O18" s="93">
        <v>0</v>
      </c>
      <c r="P18" s="100">
        <f t="shared" si="6"/>
        <v>16</v>
      </c>
      <c r="Q18" s="101">
        <f t="shared" si="2"/>
        <v>64.28</v>
      </c>
      <c r="R18" s="71" t="str">
        <f t="shared" si="10"/>
        <v>Fertilizer Injector</v>
      </c>
      <c r="S18" s="102">
        <f t="shared" si="3"/>
        <v>0.32186666666666663</v>
      </c>
      <c r="T18" s="73">
        <f t="shared" si="4"/>
        <v>0.10666666666666667</v>
      </c>
      <c r="U18" s="81">
        <f t="shared" si="5"/>
        <v>0.4285333333333333</v>
      </c>
      <c r="V18" s="12"/>
    </row>
    <row r="19" spans="1:22" ht="13.5" thickBot="1" thickTop="1">
      <c r="A19" s="72" t="s">
        <v>250</v>
      </c>
      <c r="B19" s="87"/>
      <c r="C19" s="357">
        <v>24645</v>
      </c>
      <c r="D19" s="86">
        <v>0</v>
      </c>
      <c r="E19" s="360">
        <v>20</v>
      </c>
      <c r="F19" s="360">
        <v>45</v>
      </c>
      <c r="G19" s="70">
        <f>($C19-$D19)/$E19</f>
        <v>1232.25</v>
      </c>
      <c r="H19" s="74">
        <f t="shared" si="0"/>
        <v>1232.25</v>
      </c>
      <c r="I19" s="89">
        <f t="shared" si="1"/>
        <v>61.612500000000004</v>
      </c>
      <c r="J19" s="86">
        <f>($C19+$D19)/2*Assumptions!G37</f>
        <v>616.125</v>
      </c>
      <c r="K19" s="86">
        <f>($C19+$D19)/2*Assumptions!G38</f>
        <v>123.22500000000001</v>
      </c>
      <c r="L19" s="86">
        <f>($C19+$D19)/2*Assumptions!G39</f>
        <v>123.22500000000001</v>
      </c>
      <c r="M19" s="86">
        <f t="shared" si="8"/>
        <v>2094.825</v>
      </c>
      <c r="N19" s="92">
        <f t="shared" si="9"/>
        <v>492.9</v>
      </c>
      <c r="O19" s="91">
        <f>(2*Assumptions!B44*F19)+((2*Assumptions!B44*F19)*Assumptions!D44)</f>
        <v>321.3</v>
      </c>
      <c r="P19" s="100">
        <f>SUM($N19:$O19)</f>
        <v>814.2</v>
      </c>
      <c r="Q19" s="101">
        <f t="shared" si="2"/>
        <v>2909.0249999999996</v>
      </c>
      <c r="R19" s="71" t="str">
        <f t="shared" si="10"/>
        <v>OH Irrigation System</v>
      </c>
      <c r="S19" s="102">
        <f t="shared" si="3"/>
        <v>46.55166666666666</v>
      </c>
      <c r="T19" s="73">
        <f t="shared" si="4"/>
        <v>18.093333333333334</v>
      </c>
      <c r="U19" s="330">
        <f t="shared" si="5"/>
        <v>64.645</v>
      </c>
      <c r="V19" s="331">
        <f>U19/5</f>
        <v>12.928999999999998</v>
      </c>
    </row>
    <row r="20" spans="1:22" ht="13.5" thickBot="1" thickTop="1">
      <c r="A20" s="72" t="s">
        <v>301</v>
      </c>
      <c r="B20" s="87" t="s">
        <v>68</v>
      </c>
      <c r="C20" s="357">
        <v>12382</v>
      </c>
      <c r="D20" s="86">
        <v>0</v>
      </c>
      <c r="E20" s="360">
        <v>20</v>
      </c>
      <c r="F20" s="360">
        <v>45</v>
      </c>
      <c r="G20" s="70">
        <f>($C20-$D20)/$E20</f>
        <v>619.1</v>
      </c>
      <c r="H20" s="74">
        <f t="shared" si="0"/>
        <v>619.1</v>
      </c>
      <c r="I20" s="89">
        <f t="shared" si="1"/>
        <v>30.955000000000002</v>
      </c>
      <c r="J20" s="86">
        <f>($C20+$D20)/2*Assumptions!G37</f>
        <v>309.55</v>
      </c>
      <c r="K20" s="86">
        <f>($C20+$D20)/2*Assumptions!G38</f>
        <v>61.910000000000004</v>
      </c>
      <c r="L20" s="86">
        <f>($C20+$D20)/2*Assumptions!G39</f>
        <v>61.910000000000004</v>
      </c>
      <c r="M20" s="86">
        <f t="shared" si="8"/>
        <v>1052.47</v>
      </c>
      <c r="N20" s="92">
        <f t="shared" si="9"/>
        <v>247.64000000000001</v>
      </c>
      <c r="O20" s="91">
        <f>(2*Assumptions!B44*F20)+((2*Assumptions!B44*F20)*Assumptions!D44)</f>
        <v>321.3</v>
      </c>
      <c r="P20" s="100">
        <f>SUM($N20:$O20)</f>
        <v>568.94</v>
      </c>
      <c r="Q20" s="101">
        <f t="shared" si="2"/>
        <v>1621.41</v>
      </c>
      <c r="R20" s="71" t="str">
        <f t="shared" si="10"/>
        <v>Drip Irrigation System</v>
      </c>
      <c r="S20" s="102">
        <f t="shared" si="3"/>
        <v>23.388222222222222</v>
      </c>
      <c r="T20" s="73">
        <f t="shared" si="4"/>
        <v>12.643111111111113</v>
      </c>
      <c r="U20" s="81">
        <f t="shared" si="5"/>
        <v>36.031333333333336</v>
      </c>
      <c r="V20" s="331">
        <f>U20/5</f>
        <v>7.206266666666667</v>
      </c>
    </row>
    <row r="21" spans="1:21" ht="37.5" customHeight="1" thickBot="1" thickTop="1">
      <c r="A21" s="76" t="s">
        <v>93</v>
      </c>
      <c r="B21" s="107"/>
      <c r="C21" s="105" t="s">
        <v>44</v>
      </c>
      <c r="D21" s="105" t="s">
        <v>45</v>
      </c>
      <c r="E21" s="105" t="s">
        <v>46</v>
      </c>
      <c r="F21" s="77" t="s">
        <v>75</v>
      </c>
      <c r="G21" s="77" t="s">
        <v>47</v>
      </c>
      <c r="H21" s="78" t="s">
        <v>88</v>
      </c>
      <c r="I21" s="79" t="s">
        <v>85</v>
      </c>
      <c r="J21" s="105" t="s">
        <v>49</v>
      </c>
      <c r="K21" s="105" t="s">
        <v>48</v>
      </c>
      <c r="L21" s="105" t="s">
        <v>18</v>
      </c>
      <c r="M21" s="105" t="s">
        <v>50</v>
      </c>
      <c r="N21" s="105" t="s">
        <v>90</v>
      </c>
      <c r="O21" s="105" t="s">
        <v>89</v>
      </c>
      <c r="P21" s="105" t="s">
        <v>51</v>
      </c>
      <c r="Q21" s="106" t="s">
        <v>91</v>
      </c>
      <c r="R21" s="76" t="s">
        <v>93</v>
      </c>
      <c r="S21" s="103" t="s">
        <v>86</v>
      </c>
      <c r="T21" s="103" t="s">
        <v>87</v>
      </c>
      <c r="U21" s="104" t="s">
        <v>92</v>
      </c>
    </row>
    <row r="22" spans="1:23" ht="15" customHeight="1" thickTop="1">
      <c r="A22" s="94" t="s">
        <v>57</v>
      </c>
      <c r="B22" s="95" t="s">
        <v>68</v>
      </c>
      <c r="C22" s="358">
        <v>25000</v>
      </c>
      <c r="D22" s="84">
        <v>5000</v>
      </c>
      <c r="E22" s="359">
        <v>10</v>
      </c>
      <c r="F22" s="362">
        <v>24000</v>
      </c>
      <c r="G22" s="83">
        <f>($C22-$D22)/$E22</f>
        <v>2000</v>
      </c>
      <c r="H22" s="83"/>
      <c r="I22" s="83"/>
      <c r="J22" s="83">
        <f>($C22+$D22)/2*Assumptions!G37</f>
        <v>750</v>
      </c>
      <c r="K22" s="83">
        <f>($C22+$D22)/2*Assumptions!G38</f>
        <v>150</v>
      </c>
      <c r="L22" s="83">
        <f>($C22+$D22)/2*Assumptions!G39</f>
        <v>150</v>
      </c>
      <c r="M22" s="83">
        <f>$J22+$K22+$L22</f>
        <v>1050</v>
      </c>
      <c r="N22" s="90">
        <f>(0.3*C22)/E22</f>
        <v>750</v>
      </c>
      <c r="O22" s="91">
        <f>((1/Assumptions!E47)*Assumptions!B47*F22)+(((1/Assumptions!E47)*Assumptions!B47*F22)*Assumptions!D47)</f>
        <v>4896</v>
      </c>
      <c r="P22" s="96">
        <f>SUM($N22:$O22)</f>
        <v>5646</v>
      </c>
      <c r="Q22" s="91">
        <f>$M22+$P22</f>
        <v>6696</v>
      </c>
      <c r="R22" s="97" t="s">
        <v>57</v>
      </c>
      <c r="S22" s="98">
        <f>(M22)/F22</f>
        <v>0.04375</v>
      </c>
      <c r="T22" s="98">
        <f>(P22)/F22</f>
        <v>0.23525</v>
      </c>
      <c r="U22" s="324">
        <f>S22+T22</f>
        <v>0.27899999999999997</v>
      </c>
      <c r="V22" s="325">
        <f>U22*50</f>
        <v>13.95</v>
      </c>
      <c r="W22" s="12"/>
    </row>
    <row r="23" spans="1:17" ht="0.75" customHeight="1">
      <c r="A23" s="20"/>
      <c r="B23" s="25"/>
      <c r="C23" s="21"/>
      <c r="D23" s="21"/>
      <c r="E23" s="21"/>
      <c r="F23" s="21"/>
      <c r="G23" s="22"/>
      <c r="H23" s="22"/>
      <c r="I23" s="22"/>
      <c r="J23" s="22"/>
      <c r="K23" s="22"/>
      <c r="L23" s="22"/>
      <c r="M23" s="22"/>
      <c r="N23" s="23"/>
      <c r="O23" s="23"/>
      <c r="P23" s="24"/>
      <c r="Q23" s="23"/>
    </row>
    <row r="24" spans="1:17" ht="0.75" customHeight="1">
      <c r="A24" s="40"/>
      <c r="B24" s="41"/>
      <c r="C24" s="37"/>
      <c r="D24" s="37"/>
      <c r="E24" s="37"/>
      <c r="F24" s="37"/>
      <c r="G24" s="38"/>
      <c r="H24" s="38"/>
      <c r="I24" s="38"/>
      <c r="J24" s="38"/>
      <c r="K24" s="38"/>
      <c r="L24" s="38"/>
      <c r="M24" s="38"/>
      <c r="N24" s="39"/>
      <c r="O24" s="39"/>
      <c r="P24" s="42"/>
      <c r="Q24" s="39"/>
    </row>
    <row r="25" spans="11:15" ht="12">
      <c r="K25" s="57"/>
      <c r="L25" s="57"/>
      <c r="M25" s="57"/>
      <c r="N25" s="57"/>
      <c r="O25" s="57"/>
    </row>
    <row r="26" spans="11:15" ht="12">
      <c r="K26" s="57"/>
      <c r="L26" s="29" t="s">
        <v>2</v>
      </c>
      <c r="M26" s="29"/>
      <c r="N26" s="119"/>
      <c r="O26" s="29"/>
    </row>
    <row r="27" spans="12:15" ht="12">
      <c r="L27" s="51" t="s">
        <v>2</v>
      </c>
      <c r="M27" s="51"/>
      <c r="N27" s="51"/>
      <c r="O27" s="51"/>
    </row>
    <row r="28" spans="1:15" ht="12">
      <c r="A28" s="60"/>
      <c r="B28" s="60"/>
      <c r="C28" s="111"/>
      <c r="L28" s="51" t="s">
        <v>2</v>
      </c>
      <c r="M28" s="51" t="s">
        <v>2</v>
      </c>
      <c r="N28" s="51"/>
      <c r="O28" s="51"/>
    </row>
    <row r="29" spans="1:3" ht="12">
      <c r="A29" s="112"/>
      <c r="B29" s="60"/>
      <c r="C29" s="111"/>
    </row>
    <row r="30" ht="12">
      <c r="B30" s="112"/>
    </row>
    <row r="31" ht="12">
      <c r="B31" s="60"/>
    </row>
    <row r="32" spans="1:3" ht="12">
      <c r="A32" s="60"/>
      <c r="B32" s="60"/>
      <c r="C32" s="60"/>
    </row>
    <row r="33" spans="1:10" ht="12">
      <c r="A33" s="60"/>
      <c r="B33" s="60"/>
      <c r="C33" s="60"/>
      <c r="J33" s="60"/>
    </row>
    <row r="34" ht="12">
      <c r="C34" s="60"/>
    </row>
    <row r="35" ht="12">
      <c r="C35" s="60"/>
    </row>
    <row r="36" ht="12">
      <c r="C36" s="60"/>
    </row>
  </sheetData>
  <sheetProtection password="ECAF" sheet="1" selectLockedCells="1"/>
  <mergeCells count="1">
    <mergeCell ref="S2:U2"/>
  </mergeCells>
  <printOptions/>
  <pageMargins left="0.29" right="0.21" top="0.53" bottom="0.41" header="0.5" footer="0.4"/>
  <pageSetup horizontalDpi="300" verticalDpi="300" orientation="landscape"/>
</worksheet>
</file>

<file path=xl/worksheets/sheet7.xml><?xml version="1.0" encoding="utf-8"?>
<worksheet xmlns="http://schemas.openxmlformats.org/spreadsheetml/2006/main" xmlns:r="http://schemas.openxmlformats.org/officeDocument/2006/relationships">
  <sheetPr>
    <tabColor rgb="FFFF0000"/>
    <pageSetUpPr fitToPage="1"/>
  </sheetPr>
  <dimension ref="A1:EN210"/>
  <sheetViews>
    <sheetView showGridLines="0" showOutlineSymbols="0" workbookViewId="0" topLeftCell="A40">
      <selection activeCell="I181" sqref="I181"/>
    </sheetView>
  </sheetViews>
  <sheetFormatPr defaultColWidth="9.140625" defaultRowHeight="12.75" outlineLevelRow="2" outlineLevelCol="2"/>
  <cols>
    <col min="1" max="1" width="6.28125" style="7" customWidth="1"/>
    <col min="2" max="2" width="4.8515625" style="7" customWidth="1"/>
    <col min="3" max="3" width="7.140625" style="7" customWidth="1"/>
    <col min="4" max="4" width="13.28125" style="7" customWidth="1"/>
    <col min="5" max="5" width="19.8515625" style="7" customWidth="1"/>
    <col min="6" max="6" width="8.421875" style="149" customWidth="1" outlineLevel="2"/>
    <col min="7" max="7" width="8.8515625" style="149" customWidth="1" outlineLevel="2"/>
    <col min="8" max="8" width="10.421875" style="149" customWidth="1" outlineLevel="1"/>
    <col min="9" max="9" width="13.00390625" style="7" customWidth="1" outlineLevel="2"/>
    <col min="10" max="10" width="10.140625" style="7" customWidth="1" outlineLevel="2"/>
    <col min="11" max="11" width="7.7109375" style="149" customWidth="1" outlineLevel="2"/>
    <col min="12" max="12" width="12.7109375" style="7" customWidth="1" outlineLevel="1"/>
    <col min="13" max="13" width="9.421875" style="7" customWidth="1" outlineLevel="2"/>
    <col min="14" max="14" width="11.421875" style="7" customWidth="1" outlineLevel="2"/>
    <col min="15" max="15" width="9.7109375" style="7" customWidth="1" outlineLevel="1"/>
    <col min="16" max="16" width="13.421875" style="7" customWidth="1"/>
    <col min="17" max="17" width="9.421875" style="7" bestFit="1" customWidth="1"/>
    <col min="18" max="144" width="9.140625" style="169" customWidth="1"/>
    <col min="145" max="16384" width="9.140625" style="7" customWidth="1"/>
  </cols>
  <sheetData>
    <row r="1" spans="1:18" ht="12">
      <c r="A1" s="3" t="s">
        <v>208</v>
      </c>
      <c r="B1"/>
      <c r="C1"/>
      <c r="D1"/>
      <c r="E1"/>
      <c r="F1"/>
      <c r="G1"/>
      <c r="H1"/>
      <c r="I1"/>
      <c r="J1"/>
      <c r="K1"/>
      <c r="L1"/>
      <c r="M1"/>
      <c r="N1"/>
      <c r="O1"/>
      <c r="P1" s="12"/>
      <c r="Q1" s="178"/>
      <c r="R1" s="60"/>
    </row>
    <row r="2" spans="1:18" ht="12">
      <c r="A2" s="3" t="s">
        <v>2</v>
      </c>
      <c r="B2" s="13"/>
      <c r="C2" s="13"/>
      <c r="D2" s="13"/>
      <c r="E2" s="3" t="s">
        <v>2</v>
      </c>
      <c r="F2" s="13"/>
      <c r="G2" s="13"/>
      <c r="H2" s="13"/>
      <c r="I2" s="13"/>
      <c r="J2" s="13"/>
      <c r="K2" s="30"/>
      <c r="L2" s="13" t="s">
        <v>2</v>
      </c>
      <c r="M2" s="13"/>
      <c r="N2" s="13"/>
      <c r="O2" s="13"/>
      <c r="P2" s="13"/>
      <c r="Q2" s="178"/>
      <c r="R2" s="60"/>
    </row>
    <row r="3" spans="1:18" ht="12">
      <c r="A3" s="179" t="s">
        <v>3</v>
      </c>
      <c r="B3" s="181" t="s">
        <v>130</v>
      </c>
      <c r="C3" s="180"/>
      <c r="D3" s="180"/>
      <c r="E3" s="182" t="s">
        <v>131</v>
      </c>
      <c r="F3" s="180"/>
      <c r="G3" s="180"/>
      <c r="H3" s="180"/>
      <c r="I3" s="183" t="s">
        <v>4</v>
      </c>
      <c r="J3" s="180"/>
      <c r="K3" s="180"/>
      <c r="L3" s="180"/>
      <c r="M3" s="184" t="s">
        <v>5</v>
      </c>
      <c r="N3" s="180"/>
      <c r="O3" s="180"/>
      <c r="P3" s="211" t="s">
        <v>6</v>
      </c>
      <c r="Q3" s="212" t="s">
        <v>7</v>
      </c>
      <c r="R3" s="60" t="s">
        <v>2</v>
      </c>
    </row>
    <row r="4" spans="1:18" ht="12.75" customHeight="1">
      <c r="A4" s="185"/>
      <c r="B4" s="186" t="s">
        <v>132</v>
      </c>
      <c r="C4" s="187"/>
      <c r="D4" s="187"/>
      <c r="E4" s="185"/>
      <c r="F4" s="188" t="s">
        <v>8</v>
      </c>
      <c r="G4" s="188" t="s">
        <v>9</v>
      </c>
      <c r="H4" s="188" t="s">
        <v>10</v>
      </c>
      <c r="I4" s="189" t="s">
        <v>11</v>
      </c>
      <c r="J4" s="189" t="s">
        <v>12</v>
      </c>
      <c r="K4" s="189" t="s">
        <v>133</v>
      </c>
      <c r="L4" s="189" t="s">
        <v>13</v>
      </c>
      <c r="M4" s="190" t="s">
        <v>8</v>
      </c>
      <c r="N4" s="190" t="s">
        <v>9</v>
      </c>
      <c r="O4" s="190" t="s">
        <v>14</v>
      </c>
      <c r="P4" s="191" t="s">
        <v>15</v>
      </c>
      <c r="Q4" s="213" t="s">
        <v>15</v>
      </c>
      <c r="R4" s="333" t="s">
        <v>2</v>
      </c>
    </row>
    <row r="5" spans="2:18" ht="12.75" customHeight="1">
      <c r="B5" s="192"/>
      <c r="C5" s="193"/>
      <c r="D5" s="193"/>
      <c r="F5" s="194"/>
      <c r="G5" s="194"/>
      <c r="H5" s="194"/>
      <c r="I5" s="195"/>
      <c r="J5" s="195"/>
      <c r="K5" s="195"/>
      <c r="L5" s="195"/>
      <c r="M5" s="196"/>
      <c r="N5" s="196"/>
      <c r="O5" s="196"/>
      <c r="P5" s="197"/>
      <c r="Q5" s="176"/>
      <c r="R5" s="333"/>
    </row>
    <row r="6" spans="1:144" s="218" customFormat="1" ht="12">
      <c r="A6" s="273" t="s">
        <v>134</v>
      </c>
      <c r="B6" s="216"/>
      <c r="C6" s="217"/>
      <c r="D6" s="217"/>
      <c r="F6" s="219"/>
      <c r="G6" s="219"/>
      <c r="H6" s="219"/>
      <c r="I6" s="220"/>
      <c r="J6" s="220"/>
      <c r="K6" s="220"/>
      <c r="L6" s="220"/>
      <c r="M6" s="221"/>
      <c r="N6" s="221"/>
      <c r="O6" s="221"/>
      <c r="P6" s="222"/>
      <c r="Q6" s="223"/>
      <c r="R6" s="333"/>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row>
    <row r="7" spans="1:18" ht="12">
      <c r="A7" s="170" t="s">
        <v>30</v>
      </c>
      <c r="B7" s="13"/>
      <c r="C7" s="13"/>
      <c r="D7" s="13"/>
      <c r="E7" s="13"/>
      <c r="F7" s="13"/>
      <c r="G7" s="13"/>
      <c r="H7" s="198"/>
      <c r="I7" s="199"/>
      <c r="J7" s="200"/>
      <c r="K7" s="201"/>
      <c r="L7" s="198"/>
      <c r="M7" s="13"/>
      <c r="N7" s="198"/>
      <c r="O7" s="198"/>
      <c r="P7" s="198"/>
      <c r="Q7" s="178"/>
      <c r="R7" s="60"/>
    </row>
    <row r="8" spans="1:18" ht="12" outlineLevel="1">
      <c r="A8" s="13" t="s">
        <v>135</v>
      </c>
      <c r="B8" s="13" t="s">
        <v>136</v>
      </c>
      <c r="C8" s="13"/>
      <c r="D8" s="13"/>
      <c r="E8" s="201" t="s">
        <v>137</v>
      </c>
      <c r="F8" s="202" t="s">
        <v>2</v>
      </c>
      <c r="G8" s="202" t="s">
        <v>2</v>
      </c>
      <c r="H8" s="198"/>
      <c r="I8" s="203"/>
      <c r="J8" s="338"/>
      <c r="K8" s="204"/>
      <c r="L8" s="198"/>
      <c r="M8" s="363">
        <v>18</v>
      </c>
      <c r="N8" s="337">
        <f>Assumptions!G29</f>
        <v>10.6</v>
      </c>
      <c r="O8" s="198">
        <f>+N8*M8</f>
        <v>190.79999999999998</v>
      </c>
      <c r="P8" s="198">
        <f aca="true" t="shared" si="0" ref="P8:P19">O8+L8+H8</f>
        <v>190.79999999999998</v>
      </c>
      <c r="Q8" s="178"/>
      <c r="R8" s="60"/>
    </row>
    <row r="9" spans="1:18" ht="12" outlineLevel="1">
      <c r="A9" s="13"/>
      <c r="B9" s="13" t="s">
        <v>2</v>
      </c>
      <c r="C9" s="13"/>
      <c r="D9" s="13"/>
      <c r="E9" s="6" t="s">
        <v>185</v>
      </c>
      <c r="F9" s="363">
        <v>3</v>
      </c>
      <c r="G9" s="202">
        <f>Machinery!U5+Machinery!U10</f>
        <v>17.124404444444444</v>
      </c>
      <c r="H9" s="198">
        <f>G9*F9</f>
        <v>51.37321333333333</v>
      </c>
      <c r="I9" s="203"/>
      <c r="J9" s="338"/>
      <c r="K9" s="204"/>
      <c r="L9" s="198"/>
      <c r="M9" s="205">
        <f>F9*1.2</f>
        <v>3.5999999999999996</v>
      </c>
      <c r="N9" s="337">
        <f>Assumptions!G29</f>
        <v>10.6</v>
      </c>
      <c r="O9" s="198">
        <f>+N9*M9</f>
        <v>38.16</v>
      </c>
      <c r="P9" s="198">
        <f t="shared" si="0"/>
        <v>89.53321333333332</v>
      </c>
      <c r="Q9" s="178"/>
      <c r="R9" s="60"/>
    </row>
    <row r="10" spans="1:18" ht="12" outlineLevel="1">
      <c r="A10" s="13" t="s">
        <v>138</v>
      </c>
      <c r="B10" s="13" t="s">
        <v>190</v>
      </c>
      <c r="C10" s="13"/>
      <c r="D10" s="13"/>
      <c r="E10" s="201" t="s">
        <v>186</v>
      </c>
      <c r="F10" s="364">
        <v>1</v>
      </c>
      <c r="G10" s="202">
        <f>Machinery!V22</f>
        <v>13.95</v>
      </c>
      <c r="H10" s="198">
        <f>G10*F10</f>
        <v>13.95</v>
      </c>
      <c r="I10" s="203"/>
      <c r="J10" s="338"/>
      <c r="K10" s="204"/>
      <c r="L10" s="198"/>
      <c r="M10" s="146">
        <v>1.2</v>
      </c>
      <c r="N10" s="337">
        <f>Assumptions!G29</f>
        <v>10.6</v>
      </c>
      <c r="O10" s="198">
        <f>+N10*M10</f>
        <v>12.719999999999999</v>
      </c>
      <c r="P10" s="198">
        <f t="shared" si="0"/>
        <v>26.669999999999998</v>
      </c>
      <c r="Q10" s="178"/>
      <c r="R10" s="60"/>
    </row>
    <row r="11" spans="1:18" ht="12" outlineLevel="1">
      <c r="A11" s="13" t="s">
        <v>138</v>
      </c>
      <c r="B11" s="13" t="s">
        <v>302</v>
      </c>
      <c r="C11" s="13"/>
      <c r="D11" s="13"/>
      <c r="E11" s="6" t="s">
        <v>303</v>
      </c>
      <c r="F11" s="364">
        <v>1</v>
      </c>
      <c r="G11" s="205">
        <f>Machinery!U5+Machinery!U6</f>
        <v>17.44746</v>
      </c>
      <c r="H11" s="198">
        <f>G11*F11</f>
        <v>17.44746</v>
      </c>
      <c r="I11" s="367">
        <v>12</v>
      </c>
      <c r="J11" s="368" t="s">
        <v>305</v>
      </c>
      <c r="K11" s="369">
        <v>17</v>
      </c>
      <c r="L11" s="263">
        <f>+K11*I11</f>
        <v>204</v>
      </c>
      <c r="M11" s="146">
        <v>1.2</v>
      </c>
      <c r="N11" s="337">
        <f>Assumptions!G29</f>
        <v>10.6</v>
      </c>
      <c r="O11" s="198">
        <f>+N11*M11</f>
        <v>12.719999999999999</v>
      </c>
      <c r="P11" s="198">
        <f>O11+L11+H11</f>
        <v>234.16746</v>
      </c>
      <c r="Q11" s="178"/>
      <c r="R11" s="60"/>
    </row>
    <row r="12" spans="1:18" ht="12" outlineLevel="1">
      <c r="A12" s="13" t="s">
        <v>138</v>
      </c>
      <c r="B12" s="13" t="s">
        <v>191</v>
      </c>
      <c r="C12" s="13"/>
      <c r="D12" s="13"/>
      <c r="E12" s="6" t="s">
        <v>187</v>
      </c>
      <c r="F12" s="364">
        <v>1</v>
      </c>
      <c r="G12" s="202">
        <f>Machinery!U5+Machinery!U11</f>
        <v>18.742626666666666</v>
      </c>
      <c r="H12" s="198">
        <f>G12*F12</f>
        <v>18.742626666666666</v>
      </c>
      <c r="I12" s="203"/>
      <c r="J12" s="338"/>
      <c r="K12" s="204"/>
      <c r="L12" s="198"/>
      <c r="M12" s="146">
        <v>1.2</v>
      </c>
      <c r="N12" s="337">
        <f>Assumptions!G29</f>
        <v>10.6</v>
      </c>
      <c r="O12" s="198">
        <f>+N12*M12</f>
        <v>12.719999999999999</v>
      </c>
      <c r="P12" s="198">
        <f t="shared" si="0"/>
        <v>31.462626666666665</v>
      </c>
      <c r="Q12" s="178"/>
      <c r="R12" s="60"/>
    </row>
    <row r="13" spans="1:20" ht="12" outlineLevel="1">
      <c r="A13" s="13" t="s">
        <v>138</v>
      </c>
      <c r="B13" s="13" t="s">
        <v>189</v>
      </c>
      <c r="C13" s="13"/>
      <c r="D13" s="13"/>
      <c r="E13" s="201" t="s">
        <v>139</v>
      </c>
      <c r="F13" s="202"/>
      <c r="G13" s="202"/>
      <c r="H13" s="198"/>
      <c r="I13" s="367">
        <v>55</v>
      </c>
      <c r="J13" s="368" t="s">
        <v>114</v>
      </c>
      <c r="K13" s="369">
        <v>1</v>
      </c>
      <c r="L13" s="263">
        <f>+K13*I13</f>
        <v>55</v>
      </c>
      <c r="M13" s="202"/>
      <c r="N13" s="198"/>
      <c r="O13" s="198"/>
      <c r="P13" s="198">
        <f t="shared" si="0"/>
        <v>55</v>
      </c>
      <c r="Q13" s="178"/>
      <c r="R13" s="60"/>
      <c r="T13"/>
    </row>
    <row r="14" spans="1:18" ht="12" outlineLevel="1">
      <c r="A14" s="13" t="s">
        <v>138</v>
      </c>
      <c r="B14" s="13" t="s">
        <v>192</v>
      </c>
      <c r="C14" s="13"/>
      <c r="D14" s="13"/>
      <c r="E14" s="201" t="s">
        <v>188</v>
      </c>
      <c r="F14" s="363">
        <v>3</v>
      </c>
      <c r="G14" s="202">
        <f>Machinery!U5+Machinery!U14</f>
        <v>19.956293333333335</v>
      </c>
      <c r="H14" s="198">
        <f>G14*F14</f>
        <v>59.868880000000004</v>
      </c>
      <c r="I14" s="265" t="s">
        <v>2</v>
      </c>
      <c r="J14" s="266" t="s">
        <v>2</v>
      </c>
      <c r="K14" s="267" t="s">
        <v>2</v>
      </c>
      <c r="L14" s="263"/>
      <c r="M14" s="205">
        <f>F14*1.2</f>
        <v>3.5999999999999996</v>
      </c>
      <c r="N14" s="337">
        <f>Assumptions!G29</f>
        <v>10.6</v>
      </c>
      <c r="O14" s="198">
        <f>+N14*M14</f>
        <v>38.16</v>
      </c>
      <c r="P14" s="198">
        <f t="shared" si="0"/>
        <v>98.02888</v>
      </c>
      <c r="Q14" s="178"/>
      <c r="R14" s="60"/>
    </row>
    <row r="15" spans="1:18" ht="12" outlineLevel="1">
      <c r="A15" s="13"/>
      <c r="B15" s="201"/>
      <c r="C15" s="365" t="s">
        <v>358</v>
      </c>
      <c r="D15" s="366"/>
      <c r="E15" s="201" t="s">
        <v>2</v>
      </c>
      <c r="F15" s="202"/>
      <c r="G15" s="202"/>
      <c r="H15" s="198"/>
      <c r="I15" s="367">
        <v>0.54</v>
      </c>
      <c r="J15" s="368" t="s">
        <v>26</v>
      </c>
      <c r="K15" s="369">
        <v>80</v>
      </c>
      <c r="L15" s="263">
        <f>+K15*I15</f>
        <v>43.2</v>
      </c>
      <c r="M15" s="202"/>
      <c r="N15" s="198"/>
      <c r="O15" s="198"/>
      <c r="P15" s="198">
        <f t="shared" si="0"/>
        <v>43.2</v>
      </c>
      <c r="Q15" s="206" t="s">
        <v>2</v>
      </c>
      <c r="R15" s="60"/>
    </row>
    <row r="16" spans="1:18" ht="12" outlineLevel="1">
      <c r="A16" s="13"/>
      <c r="B16" s="201"/>
      <c r="C16" s="365" t="s">
        <v>359</v>
      </c>
      <c r="D16" s="366"/>
      <c r="E16" s="201"/>
      <c r="F16" s="202"/>
      <c r="G16" s="202"/>
      <c r="H16" s="198"/>
      <c r="I16" s="367">
        <v>0.24</v>
      </c>
      <c r="J16" s="368" t="s">
        <v>26</v>
      </c>
      <c r="K16" s="369">
        <v>40</v>
      </c>
      <c r="L16" s="263">
        <f>+K16*I16</f>
        <v>9.6</v>
      </c>
      <c r="M16" s="202"/>
      <c r="N16" s="198"/>
      <c r="O16" s="198"/>
      <c r="P16" s="198">
        <f>O16+L16+H16</f>
        <v>9.6</v>
      </c>
      <c r="Q16" s="206"/>
      <c r="R16" s="60"/>
    </row>
    <row r="17" spans="1:18" ht="12" outlineLevel="1">
      <c r="A17" s="13"/>
      <c r="B17" s="201"/>
      <c r="C17" s="365" t="s">
        <v>306</v>
      </c>
      <c r="D17" s="366"/>
      <c r="E17" s="201" t="s">
        <v>2</v>
      </c>
      <c r="F17" s="202"/>
      <c r="G17" s="202"/>
      <c r="H17" s="198"/>
      <c r="I17" s="367">
        <v>1.99</v>
      </c>
      <c r="J17" s="368" t="s">
        <v>35</v>
      </c>
      <c r="K17" s="369">
        <v>4</v>
      </c>
      <c r="L17" s="263">
        <f>+K17*I17</f>
        <v>7.96</v>
      </c>
      <c r="M17" s="202"/>
      <c r="N17" s="198" t="s">
        <v>2</v>
      </c>
      <c r="O17" s="198"/>
      <c r="P17" s="198">
        <f>O17+L17+H17</f>
        <v>7.96</v>
      </c>
      <c r="Q17" s="206"/>
      <c r="R17" s="60"/>
    </row>
    <row r="18" spans="1:18" ht="12" outlineLevel="1">
      <c r="A18" s="13"/>
      <c r="B18" s="201"/>
      <c r="C18" s="365" t="s">
        <v>323</v>
      </c>
      <c r="D18" s="366"/>
      <c r="E18" s="201"/>
      <c r="F18" s="202"/>
      <c r="G18" s="202"/>
      <c r="H18" s="198"/>
      <c r="I18" s="367">
        <v>0</v>
      </c>
      <c r="J18" s="368" t="s">
        <v>2</v>
      </c>
      <c r="K18" s="369">
        <v>0</v>
      </c>
      <c r="L18" s="263">
        <f>+K18*I18</f>
        <v>0</v>
      </c>
      <c r="M18" s="202"/>
      <c r="N18" s="198"/>
      <c r="O18" s="198"/>
      <c r="P18" s="198">
        <f t="shared" si="0"/>
        <v>0</v>
      </c>
      <c r="Q18" s="206"/>
      <c r="R18" s="60"/>
    </row>
    <row r="19" spans="1:18" ht="12" outlineLevel="1">
      <c r="A19" s="13"/>
      <c r="B19" s="201"/>
      <c r="C19" s="365" t="s">
        <v>323</v>
      </c>
      <c r="D19" s="366"/>
      <c r="E19" s="201" t="s">
        <v>2</v>
      </c>
      <c r="F19" s="202"/>
      <c r="G19" s="202"/>
      <c r="H19" s="198"/>
      <c r="I19" s="367">
        <v>0</v>
      </c>
      <c r="J19" s="368" t="s">
        <v>2</v>
      </c>
      <c r="K19" s="369">
        <v>0</v>
      </c>
      <c r="L19" s="263">
        <f>+K19*I19</f>
        <v>0</v>
      </c>
      <c r="M19" s="202"/>
      <c r="N19" s="198" t="s">
        <v>2</v>
      </c>
      <c r="O19" s="198"/>
      <c r="P19" s="198">
        <f t="shared" si="0"/>
        <v>0</v>
      </c>
      <c r="Q19" s="206"/>
      <c r="R19" s="60"/>
    </row>
    <row r="20" spans="1:144" s="177" customFormat="1" ht="10.5" customHeight="1">
      <c r="A20" s="227" t="s">
        <v>140</v>
      </c>
      <c r="B20" s="227"/>
      <c r="C20" s="227"/>
      <c r="D20" s="227"/>
      <c r="E20" s="228"/>
      <c r="F20" s="229"/>
      <c r="G20" s="229"/>
      <c r="H20" s="230">
        <f>SUM(H8:H19)</f>
        <v>161.38218</v>
      </c>
      <c r="I20" s="230"/>
      <c r="J20" s="231"/>
      <c r="K20" s="228"/>
      <c r="L20" s="230">
        <f>SUM(L8:L19)</f>
        <v>319.76</v>
      </c>
      <c r="M20" s="260">
        <f>SUM(M8:M19)</f>
        <v>28.799999999999997</v>
      </c>
      <c r="N20" s="230"/>
      <c r="O20" s="230">
        <f>SUM(O8:O19)</f>
        <v>305.28</v>
      </c>
      <c r="P20" s="230">
        <f>SUM(P8:P19)</f>
        <v>786.42218</v>
      </c>
      <c r="Q20" s="230">
        <f>P20</f>
        <v>786.42218</v>
      </c>
      <c r="R20" s="120"/>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row>
    <row r="21" spans="1:144" s="235" customFormat="1" ht="11.25" customHeight="1">
      <c r="A21" s="234" t="s">
        <v>195</v>
      </c>
      <c r="E21" s="236"/>
      <c r="F21" s="237"/>
      <c r="G21" s="237"/>
      <c r="H21" s="238">
        <f>SUM(H8:H19)</f>
        <v>161.38218</v>
      </c>
      <c r="I21" s="239"/>
      <c r="J21" s="240"/>
      <c r="K21" s="241"/>
      <c r="L21" s="238">
        <f>SUM(L8:L19)</f>
        <v>319.76</v>
      </c>
      <c r="M21" s="274">
        <f>SUM(M8:M19)</f>
        <v>28.799999999999997</v>
      </c>
      <c r="N21" s="239"/>
      <c r="O21" s="238">
        <f>SUM(O8:O19)</f>
        <v>305.28</v>
      </c>
      <c r="P21" s="238">
        <f>SUM(P8:P19)</f>
        <v>786.42218</v>
      </c>
      <c r="Q21" s="233">
        <f>P21</f>
        <v>786.42218</v>
      </c>
      <c r="R21" s="334"/>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row>
    <row r="22" spans="1:18" ht="11.25" customHeight="1">
      <c r="A22" s="171"/>
      <c r="E22" s="147"/>
      <c r="F22" s="148"/>
      <c r="G22" s="148"/>
      <c r="H22" s="151"/>
      <c r="I22" s="172"/>
      <c r="J22" s="150"/>
      <c r="K22" s="147"/>
      <c r="L22" s="151"/>
      <c r="M22" s="148"/>
      <c r="N22" s="151"/>
      <c r="O22" s="151"/>
      <c r="P22" s="152"/>
      <c r="Q22" s="152"/>
      <c r="R22" s="120"/>
    </row>
    <row r="23" spans="1:18" ht="12">
      <c r="A23" s="207" t="s">
        <v>141</v>
      </c>
      <c r="B23" s="13"/>
      <c r="C23" s="13"/>
      <c r="D23" s="13"/>
      <c r="E23" s="201"/>
      <c r="F23" s="202"/>
      <c r="G23" s="202"/>
      <c r="H23" s="198"/>
      <c r="I23" s="172"/>
      <c r="J23" s="200"/>
      <c r="K23" s="201"/>
      <c r="L23" s="198"/>
      <c r="M23" s="202"/>
      <c r="N23" s="198"/>
      <c r="O23" s="198"/>
      <c r="P23" s="208"/>
      <c r="Q23" s="206"/>
      <c r="R23" s="60"/>
    </row>
    <row r="24" spans="1:18" ht="12">
      <c r="A24" s="153" t="s">
        <v>33</v>
      </c>
      <c r="B24" s="13"/>
      <c r="C24" s="13"/>
      <c r="D24" s="13"/>
      <c r="E24" s="201"/>
      <c r="F24" s="205"/>
      <c r="G24" s="205"/>
      <c r="H24" s="198" t="s">
        <v>2</v>
      </c>
      <c r="I24" s="172"/>
      <c r="J24" s="200"/>
      <c r="K24" s="204"/>
      <c r="L24" s="203"/>
      <c r="M24" s="205"/>
      <c r="N24" s="198"/>
      <c r="O24" s="198"/>
      <c r="P24" s="198"/>
      <c r="Q24" s="178"/>
      <c r="R24" s="60"/>
    </row>
    <row r="25" spans="1:18" ht="12" outlineLevel="1">
      <c r="A25" s="13" t="s">
        <v>142</v>
      </c>
      <c r="B25" s="13" t="s">
        <v>307</v>
      </c>
      <c r="C25" s="13"/>
      <c r="D25" s="13"/>
      <c r="E25" s="204" t="s">
        <v>308</v>
      </c>
      <c r="F25" s="363">
        <v>2</v>
      </c>
      <c r="G25" s="205">
        <f>Machinery!U5+Machinery!U7</f>
        <v>16.821453333333334</v>
      </c>
      <c r="H25" s="198">
        <f>G25*F25</f>
        <v>33.64290666666667</v>
      </c>
      <c r="I25" s="198"/>
      <c r="J25" s="200"/>
      <c r="K25" s="201"/>
      <c r="L25" s="198"/>
      <c r="M25" s="205">
        <f>F25*1.2</f>
        <v>2.4</v>
      </c>
      <c r="N25" s="337">
        <f>Assumptions!G29</f>
        <v>10.6</v>
      </c>
      <c r="O25" s="198">
        <f aca="true" t="shared" si="1" ref="O25:O30">+N25*M25</f>
        <v>25.439999999999998</v>
      </c>
      <c r="P25" s="198">
        <f aca="true" t="shared" si="2" ref="P25:P36">O25+L25+H25</f>
        <v>59.082906666666666</v>
      </c>
      <c r="Q25" s="178"/>
      <c r="R25" s="60"/>
    </row>
    <row r="26" spans="1:18" ht="12" outlineLevel="1">
      <c r="A26" s="13" t="s">
        <v>142</v>
      </c>
      <c r="B26" s="13" t="s">
        <v>193</v>
      </c>
      <c r="C26" s="13"/>
      <c r="D26" s="13"/>
      <c r="E26" s="6" t="s">
        <v>122</v>
      </c>
      <c r="F26" s="363">
        <v>6</v>
      </c>
      <c r="G26" s="202">
        <f>Machinery!U5+Machinery!U15</f>
        <v>18.135793333333332</v>
      </c>
      <c r="H26" s="198">
        <f>G26*F26</f>
        <v>108.81475999999999</v>
      </c>
      <c r="I26" s="198"/>
      <c r="J26" s="200"/>
      <c r="K26" s="201"/>
      <c r="L26" s="198"/>
      <c r="M26" s="205">
        <f>F26*1.2</f>
        <v>7.199999999999999</v>
      </c>
      <c r="N26" s="337">
        <f>Assumptions!G29</f>
        <v>10.6</v>
      </c>
      <c r="O26" s="198">
        <f t="shared" si="1"/>
        <v>76.32</v>
      </c>
      <c r="P26" s="198">
        <f t="shared" si="2"/>
        <v>185.13475999999997</v>
      </c>
      <c r="Q26" s="178"/>
      <c r="R26" s="60"/>
    </row>
    <row r="27" spans="1:18" ht="12" outlineLevel="1">
      <c r="A27" s="13" t="s">
        <v>138</v>
      </c>
      <c r="B27" s="13" t="s">
        <v>143</v>
      </c>
      <c r="C27" s="13"/>
      <c r="D27" s="13"/>
      <c r="E27" s="6" t="s">
        <v>121</v>
      </c>
      <c r="F27" s="363">
        <v>1.5</v>
      </c>
      <c r="G27" s="202">
        <f>Machinery!U5+Machinery!U12</f>
        <v>14.17924</v>
      </c>
      <c r="H27" s="198">
        <f>G27*F27</f>
        <v>21.26886</v>
      </c>
      <c r="I27" s="198"/>
      <c r="J27" s="200"/>
      <c r="K27" s="201"/>
      <c r="L27" s="198"/>
      <c r="M27" s="202">
        <f>+F27*1.2</f>
        <v>1.7999999999999998</v>
      </c>
      <c r="N27" s="337">
        <f>Assumptions!G29</f>
        <v>10.6</v>
      </c>
      <c r="O27" s="198">
        <f t="shared" si="1"/>
        <v>19.08</v>
      </c>
      <c r="P27" s="198">
        <f t="shared" si="2"/>
        <v>40.34886</v>
      </c>
      <c r="Q27" s="178"/>
      <c r="R27" s="60"/>
    </row>
    <row r="28" spans="1:18" ht="12" outlineLevel="1">
      <c r="A28" s="13" t="s">
        <v>138</v>
      </c>
      <c r="B28" s="13" t="s">
        <v>194</v>
      </c>
      <c r="C28" s="13"/>
      <c r="D28" s="13"/>
      <c r="E28" s="6" t="s">
        <v>187</v>
      </c>
      <c r="F28" s="364">
        <v>1</v>
      </c>
      <c r="G28" s="202">
        <f>Machinery!U5+Machinery!U11</f>
        <v>18.742626666666666</v>
      </c>
      <c r="H28" s="198">
        <f>G28*F28</f>
        <v>18.742626666666666</v>
      </c>
      <c r="I28" s="198"/>
      <c r="J28" s="200"/>
      <c r="K28" s="201"/>
      <c r="L28" s="198"/>
      <c r="M28" s="202">
        <f>+F28*1.2</f>
        <v>1.2</v>
      </c>
      <c r="N28" s="337">
        <f>Assumptions!G29</f>
        <v>10.6</v>
      </c>
      <c r="O28" s="198">
        <f t="shared" si="1"/>
        <v>12.719999999999999</v>
      </c>
      <c r="P28" s="198">
        <f t="shared" si="2"/>
        <v>31.462626666666665</v>
      </c>
      <c r="Q28" s="178"/>
      <c r="R28" s="60"/>
    </row>
    <row r="29" spans="1:18" ht="12" outlineLevel="1">
      <c r="A29" s="13" t="s">
        <v>144</v>
      </c>
      <c r="B29" s="13" t="s">
        <v>309</v>
      </c>
      <c r="C29" s="13"/>
      <c r="D29" s="13"/>
      <c r="E29" s="201" t="s">
        <v>137</v>
      </c>
      <c r="F29" s="268"/>
      <c r="G29" s="202"/>
      <c r="H29" s="198"/>
      <c r="I29" s="203"/>
      <c r="J29" s="215"/>
      <c r="K29" s="214"/>
      <c r="L29" s="198"/>
      <c r="M29" s="363">
        <v>6</v>
      </c>
      <c r="N29" s="337">
        <f>Assumptions!G29</f>
        <v>10.6</v>
      </c>
      <c r="O29" s="198">
        <f t="shared" si="1"/>
        <v>63.599999999999994</v>
      </c>
      <c r="P29" s="198">
        <f t="shared" si="2"/>
        <v>63.599999999999994</v>
      </c>
      <c r="Q29" s="178"/>
      <c r="R29" s="60"/>
    </row>
    <row r="30" spans="1:18" ht="12" outlineLevel="1">
      <c r="A30" s="13"/>
      <c r="B30" s="13"/>
      <c r="C30" s="13"/>
      <c r="D30" s="13"/>
      <c r="E30" s="201"/>
      <c r="F30" s="268"/>
      <c r="G30" s="202"/>
      <c r="H30" s="198"/>
      <c r="I30" s="203"/>
      <c r="J30" s="215"/>
      <c r="K30" s="214"/>
      <c r="L30" s="198"/>
      <c r="M30" s="363">
        <v>6</v>
      </c>
      <c r="N30" s="337">
        <f>Assumptions!G28</f>
        <v>14</v>
      </c>
      <c r="O30" s="198">
        <f t="shared" si="1"/>
        <v>84</v>
      </c>
      <c r="P30" s="198">
        <f t="shared" si="2"/>
        <v>84</v>
      </c>
      <c r="Q30" s="178"/>
      <c r="R30" s="60"/>
    </row>
    <row r="31" spans="1:18" ht="12" outlineLevel="1">
      <c r="A31" s="336" t="s">
        <v>144</v>
      </c>
      <c r="B31" s="13" t="s">
        <v>310</v>
      </c>
      <c r="C31" s="13"/>
      <c r="D31" s="13"/>
      <c r="E31" s="201" t="s">
        <v>137</v>
      </c>
      <c r="F31" s="268"/>
      <c r="G31" s="202"/>
      <c r="H31" s="198"/>
      <c r="I31" s="203"/>
      <c r="J31" s="215"/>
      <c r="K31" s="214"/>
      <c r="L31" s="198"/>
      <c r="M31" s="363">
        <v>1</v>
      </c>
      <c r="N31" s="337">
        <f>Assumptions!G28</f>
        <v>14</v>
      </c>
      <c r="O31" s="198">
        <f>+N31*M31</f>
        <v>14</v>
      </c>
      <c r="P31" s="198">
        <f>O31+L31+H31</f>
        <v>14</v>
      </c>
      <c r="Q31" s="178"/>
      <c r="R31" s="60"/>
    </row>
    <row r="32" spans="1:18" ht="12" outlineLevel="1">
      <c r="A32" s="336" t="s">
        <v>2</v>
      </c>
      <c r="B32" s="13" t="s">
        <v>2</v>
      </c>
      <c r="C32" s="13" t="s">
        <v>327</v>
      </c>
      <c r="D32" s="13"/>
      <c r="E32" s="201" t="s">
        <v>2</v>
      </c>
      <c r="F32" s="268"/>
      <c r="G32" s="202"/>
      <c r="H32" s="198"/>
      <c r="I32" s="367">
        <v>20</v>
      </c>
      <c r="J32" s="370" t="s">
        <v>312</v>
      </c>
      <c r="K32" s="369">
        <v>23.92</v>
      </c>
      <c r="L32" s="198">
        <f>+K32*I32</f>
        <v>478.40000000000003</v>
      </c>
      <c r="M32" s="202"/>
      <c r="N32" s="198"/>
      <c r="O32" s="198"/>
      <c r="P32" s="198">
        <f t="shared" si="2"/>
        <v>478.40000000000003</v>
      </c>
      <c r="Q32" s="178"/>
      <c r="R32" s="60"/>
    </row>
    <row r="33" spans="1:18" ht="12" outlineLevel="1">
      <c r="A33" s="13"/>
      <c r="B33" s="13"/>
      <c r="C33" s="13" t="s">
        <v>311</v>
      </c>
      <c r="D33" s="13"/>
      <c r="E33" s="201"/>
      <c r="F33" s="268"/>
      <c r="G33" s="202"/>
      <c r="H33" s="198"/>
      <c r="I33" s="367">
        <v>0.04</v>
      </c>
      <c r="J33" s="370" t="s">
        <v>324</v>
      </c>
      <c r="K33" s="264">
        <f>Assumptions!G5*1.02*1.05</f>
        <v>16065</v>
      </c>
      <c r="L33" s="198">
        <f>+K33*I33</f>
        <v>642.6</v>
      </c>
      <c r="M33" s="202"/>
      <c r="N33" s="198"/>
      <c r="O33" s="198"/>
      <c r="P33" s="198">
        <f t="shared" si="2"/>
        <v>642.6</v>
      </c>
      <c r="Q33" s="178"/>
      <c r="R33" s="60"/>
    </row>
    <row r="34" spans="1:18" ht="12" outlineLevel="1">
      <c r="A34" s="13"/>
      <c r="B34" s="13"/>
      <c r="C34" s="366" t="s">
        <v>313</v>
      </c>
      <c r="D34" s="366"/>
      <c r="E34" s="201"/>
      <c r="F34" s="268"/>
      <c r="G34" s="202"/>
      <c r="H34" s="198"/>
      <c r="I34" s="367">
        <v>2.12</v>
      </c>
      <c r="J34" s="370" t="s">
        <v>35</v>
      </c>
      <c r="K34" s="369">
        <v>8</v>
      </c>
      <c r="L34" s="198">
        <f>+K34*I34</f>
        <v>16.96</v>
      </c>
      <c r="M34" s="202"/>
      <c r="N34" s="198"/>
      <c r="O34" s="198"/>
      <c r="P34" s="198">
        <f t="shared" si="2"/>
        <v>16.96</v>
      </c>
      <c r="Q34" s="178"/>
      <c r="R34" s="60"/>
    </row>
    <row r="35" spans="1:18" ht="12" outlineLevel="1">
      <c r="A35" s="13"/>
      <c r="B35" s="13"/>
      <c r="C35" s="366" t="s">
        <v>314</v>
      </c>
      <c r="D35" s="366"/>
      <c r="E35" s="201"/>
      <c r="F35" s="268"/>
      <c r="G35" s="202"/>
      <c r="H35" s="198"/>
      <c r="I35" s="367">
        <v>29.95</v>
      </c>
      <c r="J35" s="370" t="s">
        <v>325</v>
      </c>
      <c r="K35" s="369">
        <v>3.3</v>
      </c>
      <c r="L35" s="198">
        <f>+K35*I35</f>
        <v>98.835</v>
      </c>
      <c r="M35" s="202"/>
      <c r="N35" s="198"/>
      <c r="O35" s="198"/>
      <c r="P35" s="198">
        <f>O35+L35+H35</f>
        <v>98.835</v>
      </c>
      <c r="Q35" s="178"/>
      <c r="R35" s="60"/>
    </row>
    <row r="36" spans="1:18" ht="12" outlineLevel="1">
      <c r="A36" s="13"/>
      <c r="B36" s="13"/>
      <c r="C36" s="366" t="s">
        <v>323</v>
      </c>
      <c r="D36" s="366"/>
      <c r="E36" s="201"/>
      <c r="F36" s="268"/>
      <c r="G36" s="202"/>
      <c r="H36" s="198"/>
      <c r="I36" s="367">
        <v>0</v>
      </c>
      <c r="J36" s="368" t="s">
        <v>2</v>
      </c>
      <c r="K36" s="369">
        <v>0</v>
      </c>
      <c r="L36" s="263">
        <f>+K36*I36</f>
        <v>0</v>
      </c>
      <c r="M36" s="202"/>
      <c r="N36" s="198"/>
      <c r="O36" s="198"/>
      <c r="P36" s="198">
        <f t="shared" si="2"/>
        <v>0</v>
      </c>
      <c r="Q36" s="178"/>
      <c r="R36" s="60"/>
    </row>
    <row r="37" spans="1:18" ht="12" outlineLevel="1">
      <c r="A37" s="13" t="s">
        <v>147</v>
      </c>
      <c r="B37" s="13" t="s">
        <v>315</v>
      </c>
      <c r="C37" s="13"/>
      <c r="D37" s="13"/>
      <c r="E37" s="201" t="s">
        <v>137</v>
      </c>
      <c r="F37" s="268"/>
      <c r="G37" s="202"/>
      <c r="H37" s="198"/>
      <c r="I37" s="203"/>
      <c r="J37" s="215"/>
      <c r="K37" s="214"/>
      <c r="L37" s="198"/>
      <c r="M37" s="363">
        <v>1</v>
      </c>
      <c r="N37" s="337">
        <f>Assumptions!G29</f>
        <v>10.6</v>
      </c>
      <c r="O37" s="198">
        <f>+N37*M37</f>
        <v>10.6</v>
      </c>
      <c r="P37" s="198">
        <f>O37+L37+H37</f>
        <v>10.6</v>
      </c>
      <c r="Q37" s="178"/>
      <c r="R37" s="60"/>
    </row>
    <row r="38" spans="1:18" ht="12" outlineLevel="1">
      <c r="A38" s="13" t="s">
        <v>147</v>
      </c>
      <c r="B38" s="13" t="s">
        <v>316</v>
      </c>
      <c r="C38" s="13"/>
      <c r="D38" s="13"/>
      <c r="E38" s="201" t="s">
        <v>137</v>
      </c>
      <c r="F38" s="268"/>
      <c r="G38" s="202"/>
      <c r="H38" s="198"/>
      <c r="I38" s="367">
        <v>173</v>
      </c>
      <c r="J38" s="370">
        <v>1000</v>
      </c>
      <c r="K38" s="264">
        <f>Assumptions!G5*1.02*1.05/1000</f>
        <v>16.065</v>
      </c>
      <c r="L38" s="198">
        <f>+K38*I38</f>
        <v>2779.2450000000003</v>
      </c>
      <c r="M38" s="363">
        <f>K38*1000/480</f>
        <v>33.46875000000001</v>
      </c>
      <c r="N38" s="337">
        <f>Assumptions!G29</f>
        <v>10.6</v>
      </c>
      <c r="O38" s="198">
        <f>+N38*M38</f>
        <v>354.76875000000007</v>
      </c>
      <c r="P38" s="198">
        <f>O38+L38+H38</f>
        <v>3134.0137500000005</v>
      </c>
      <c r="Q38" s="178"/>
      <c r="R38" s="60"/>
    </row>
    <row r="39" spans="1:144" s="177" customFormat="1" ht="12">
      <c r="A39" s="227" t="s">
        <v>145</v>
      </c>
      <c r="B39" s="227"/>
      <c r="C39" s="227"/>
      <c r="D39" s="227"/>
      <c r="E39" s="227"/>
      <c r="F39" s="227"/>
      <c r="G39" s="227"/>
      <c r="H39" s="230">
        <f>SUM(H25:H38)</f>
        <v>182.4691533333333</v>
      </c>
      <c r="I39" s="230"/>
      <c r="J39" s="227"/>
      <c r="K39" s="228"/>
      <c r="L39" s="230">
        <f>SUM(L25:L38)</f>
        <v>4016.0400000000004</v>
      </c>
      <c r="M39" s="260">
        <f>SUM(M25:M38)</f>
        <v>60.06875000000001</v>
      </c>
      <c r="N39" s="227"/>
      <c r="O39" s="230">
        <f>SUM(O25:O38)</f>
        <v>660.5287500000001</v>
      </c>
      <c r="P39" s="230">
        <f>SUM(P25:P38)</f>
        <v>4859.037903333334</v>
      </c>
      <c r="Q39" s="230">
        <f>P39+Q20</f>
        <v>5645.460083333333</v>
      </c>
      <c r="R39" s="60"/>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row>
    <row r="40" spans="1:18" ht="12">
      <c r="A40" s="153" t="s">
        <v>34</v>
      </c>
      <c r="B40" s="13"/>
      <c r="C40" s="13"/>
      <c r="D40" s="13"/>
      <c r="E40" s="201"/>
      <c r="F40" s="146"/>
      <c r="G40" s="202"/>
      <c r="H40" s="198" t="s">
        <v>2</v>
      </c>
      <c r="I40" s="198"/>
      <c r="J40" s="200"/>
      <c r="K40" s="201"/>
      <c r="L40" s="198"/>
      <c r="M40" s="146"/>
      <c r="N40" s="198"/>
      <c r="O40" s="198"/>
      <c r="P40" s="198"/>
      <c r="Q40" s="178"/>
      <c r="R40" s="60"/>
    </row>
    <row r="41" spans="1:18" ht="12" outlineLevel="1">
      <c r="A41" s="13" t="s">
        <v>317</v>
      </c>
      <c r="B41" s="13" t="s">
        <v>318</v>
      </c>
      <c r="C41" s="13"/>
      <c r="D41" s="13"/>
      <c r="E41" s="267" t="s">
        <v>319</v>
      </c>
      <c r="F41" s="364">
        <v>0.5</v>
      </c>
      <c r="G41" s="202">
        <f>Machinery!U18</f>
        <v>0.4285333333333333</v>
      </c>
      <c r="H41" s="198">
        <f>G41*F41</f>
        <v>0.21426666666666666</v>
      </c>
      <c r="I41" s="367">
        <v>0.72</v>
      </c>
      <c r="J41" s="371" t="s">
        <v>320</v>
      </c>
      <c r="K41" s="365">
        <v>1</v>
      </c>
      <c r="L41" s="198">
        <f>+K41*I41</f>
        <v>0.72</v>
      </c>
      <c r="M41" s="363">
        <v>24</v>
      </c>
      <c r="N41" s="337">
        <f>Assumptions!G29</f>
        <v>10.6</v>
      </c>
      <c r="O41" s="198">
        <f>+N41*M41</f>
        <v>254.39999999999998</v>
      </c>
      <c r="P41" s="198">
        <f>O41+L41+H41</f>
        <v>255.33426666666665</v>
      </c>
      <c r="Q41" s="178"/>
      <c r="R41" s="160"/>
    </row>
    <row r="42" spans="1:18" ht="12" outlineLevel="1">
      <c r="A42" s="13" t="s">
        <v>142</v>
      </c>
      <c r="B42" s="13" t="s">
        <v>198</v>
      </c>
      <c r="C42" s="13"/>
      <c r="D42" s="13"/>
      <c r="E42" s="201" t="s">
        <v>197</v>
      </c>
      <c r="F42" s="363">
        <v>0.108</v>
      </c>
      <c r="G42" s="202">
        <f>Machinery!U4</f>
        <v>7.897500000000001</v>
      </c>
      <c r="H42" s="198">
        <f>G42*F42</f>
        <v>0.8529300000000001</v>
      </c>
      <c r="I42" s="198"/>
      <c r="J42" s="200"/>
      <c r="K42" s="201"/>
      <c r="L42" s="198"/>
      <c r="M42" s="363">
        <v>12</v>
      </c>
      <c r="N42" s="337">
        <f>Assumptions!G29</f>
        <v>10.6</v>
      </c>
      <c r="O42" s="198">
        <f>+N42*M42</f>
        <v>127.19999999999999</v>
      </c>
      <c r="P42" s="198">
        <f aca="true" t="shared" si="3" ref="P42:P47">O42+L42+H42</f>
        <v>128.05292999999998</v>
      </c>
      <c r="Q42" s="178"/>
      <c r="R42" s="60"/>
    </row>
    <row r="43" spans="1:18" ht="12" outlineLevel="1">
      <c r="A43" s="13" t="s">
        <v>142</v>
      </c>
      <c r="B43" s="13" t="s">
        <v>343</v>
      </c>
      <c r="C43" s="13"/>
      <c r="D43" s="13"/>
      <c r="E43" s="6" t="s">
        <v>122</v>
      </c>
      <c r="F43" s="363">
        <v>3</v>
      </c>
      <c r="G43" s="202">
        <f>Machinery!U5+Machinery!U15</f>
        <v>18.135793333333332</v>
      </c>
      <c r="H43" s="198">
        <f>G43*F43</f>
        <v>54.407379999999996</v>
      </c>
      <c r="I43" s="198"/>
      <c r="J43" s="200"/>
      <c r="K43" s="201"/>
      <c r="L43" s="198"/>
      <c r="M43" s="202">
        <f>+F43*1.2</f>
        <v>3.5999999999999996</v>
      </c>
      <c r="N43" s="337">
        <f>Assumptions!G29</f>
        <v>10.6</v>
      </c>
      <c r="O43" s="198">
        <f>+N43*M43</f>
        <v>38.16</v>
      </c>
      <c r="P43" s="198">
        <f t="shared" si="3"/>
        <v>92.56737999999999</v>
      </c>
      <c r="Q43" s="178"/>
      <c r="R43" s="60"/>
    </row>
    <row r="44" spans="1:18" ht="12" outlineLevel="1">
      <c r="A44" s="13" t="s">
        <v>138</v>
      </c>
      <c r="B44" s="13" t="s">
        <v>341</v>
      </c>
      <c r="C44" s="13"/>
      <c r="D44" s="13"/>
      <c r="E44" s="201" t="s">
        <v>360</v>
      </c>
      <c r="F44" s="364">
        <v>3</v>
      </c>
      <c r="G44" s="202">
        <f>Machinery!U5+Machinery!U16</f>
        <v>31.685460000000003</v>
      </c>
      <c r="H44" s="198">
        <f>G44*F44</f>
        <v>95.05638</v>
      </c>
      <c r="I44" s="198"/>
      <c r="J44" s="200"/>
      <c r="K44" s="201"/>
      <c r="L44" s="198"/>
      <c r="M44" s="202">
        <f>+F44*1.2</f>
        <v>3.5999999999999996</v>
      </c>
      <c r="N44" s="337">
        <f>Assumptions!G28</f>
        <v>14</v>
      </c>
      <c r="O44" s="198">
        <f>+N44*M44</f>
        <v>50.39999999999999</v>
      </c>
      <c r="P44" s="198">
        <f t="shared" si="3"/>
        <v>145.45638</v>
      </c>
      <c r="Q44" s="178"/>
      <c r="R44" s="60"/>
    </row>
    <row r="45" spans="1:18" ht="12" outlineLevel="1">
      <c r="A45" s="13"/>
      <c r="B45" s="13"/>
      <c r="C45" s="366" t="s">
        <v>59</v>
      </c>
      <c r="D45" s="366"/>
      <c r="E45" s="201" t="s">
        <v>2</v>
      </c>
      <c r="F45" s="202"/>
      <c r="G45" s="202"/>
      <c r="H45" s="198"/>
      <c r="I45" s="367">
        <v>109.3</v>
      </c>
      <c r="J45" s="370" t="s">
        <v>41</v>
      </c>
      <c r="K45" s="369">
        <v>4</v>
      </c>
      <c r="L45" s="198">
        <f>+K45*I45</f>
        <v>437.2</v>
      </c>
      <c r="M45" s="202"/>
      <c r="N45" s="198"/>
      <c r="O45" s="198"/>
      <c r="P45" s="198">
        <f t="shared" si="3"/>
        <v>437.2</v>
      </c>
      <c r="Q45" s="178"/>
      <c r="R45" s="60"/>
    </row>
    <row r="46" spans="1:18" ht="12" outlineLevel="1">
      <c r="A46" s="13"/>
      <c r="B46" s="13"/>
      <c r="C46" s="366" t="s">
        <v>60</v>
      </c>
      <c r="D46" s="366"/>
      <c r="E46" s="201" t="s">
        <v>2</v>
      </c>
      <c r="F46" s="202"/>
      <c r="G46" s="202"/>
      <c r="H46" s="198"/>
      <c r="I46" s="367">
        <v>129.95</v>
      </c>
      <c r="J46" s="370" t="s">
        <v>42</v>
      </c>
      <c r="K46" s="369">
        <v>1.6</v>
      </c>
      <c r="L46" s="198">
        <f>+K46*I46</f>
        <v>207.92</v>
      </c>
      <c r="M46" s="202"/>
      <c r="N46" s="198"/>
      <c r="O46" s="198"/>
      <c r="P46" s="198">
        <f t="shared" si="3"/>
        <v>207.92</v>
      </c>
      <c r="Q46" s="178"/>
      <c r="R46" s="60"/>
    </row>
    <row r="47" spans="1:18" ht="12" outlineLevel="1">
      <c r="A47" s="13" t="s">
        <v>138</v>
      </c>
      <c r="B47" s="13" t="s">
        <v>199</v>
      </c>
      <c r="C47" s="13"/>
      <c r="D47" s="13"/>
      <c r="E47" s="201" t="s">
        <v>200</v>
      </c>
      <c r="F47" s="363">
        <v>0.75</v>
      </c>
      <c r="G47" s="202">
        <f>Machinery!U4+Machinery!U13</f>
        <v>9.111166666666668</v>
      </c>
      <c r="H47" s="198">
        <f>G47*F47</f>
        <v>6.833375</v>
      </c>
      <c r="I47" s="367">
        <v>0.8</v>
      </c>
      <c r="J47" s="370" t="s">
        <v>26</v>
      </c>
      <c r="K47" s="369">
        <v>20</v>
      </c>
      <c r="L47" s="198">
        <f>+K47*I47</f>
        <v>16</v>
      </c>
      <c r="M47" s="202">
        <f>+F47*1.2</f>
        <v>0.8999999999999999</v>
      </c>
      <c r="N47" s="337">
        <f>Assumptions!G29</f>
        <v>10.6</v>
      </c>
      <c r="O47" s="198">
        <f>+N47*M47</f>
        <v>9.54</v>
      </c>
      <c r="P47" s="198">
        <f t="shared" si="3"/>
        <v>32.373374999999996</v>
      </c>
      <c r="Q47" s="178"/>
      <c r="R47" s="60"/>
    </row>
    <row r="48" spans="1:144" s="218" customFormat="1" ht="12" outlineLevel="1">
      <c r="A48" s="246" t="s">
        <v>196</v>
      </c>
      <c r="B48" s="224"/>
      <c r="C48" s="224"/>
      <c r="D48" s="224"/>
      <c r="E48" s="225"/>
      <c r="F48" s="226"/>
      <c r="G48" s="226"/>
      <c r="H48" s="238">
        <f>SUM(H25:H38)+SUM(H41:H47)</f>
        <v>339.833485</v>
      </c>
      <c r="I48" s="238"/>
      <c r="J48" s="249"/>
      <c r="K48" s="250"/>
      <c r="L48" s="238">
        <f>SUM(L25:L38)+SUM(L41:L47)</f>
        <v>4677.88</v>
      </c>
      <c r="M48" s="274">
        <f>SUM(M25:M38)+SUM(M41:M47)</f>
        <v>104.16875000000002</v>
      </c>
      <c r="N48" s="238"/>
      <c r="O48" s="238">
        <f>SUM(O25:O38)+SUM(O41:O47)</f>
        <v>1140.22875</v>
      </c>
      <c r="P48" s="238">
        <f>SUM(P25:P38)+SUM(P41:P47)</f>
        <v>6157.942235</v>
      </c>
      <c r="Q48" s="238">
        <f>Q21+P48</f>
        <v>6944.364415</v>
      </c>
      <c r="R48" s="60"/>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row>
    <row r="49" spans="1:18" ht="12" outlineLevel="1">
      <c r="A49" s="13"/>
      <c r="B49" s="13"/>
      <c r="C49" s="13"/>
      <c r="D49" s="13"/>
      <c r="E49" s="201"/>
      <c r="F49" s="202"/>
      <c r="G49" s="202"/>
      <c r="H49" s="198"/>
      <c r="I49" s="203"/>
      <c r="J49" s="200"/>
      <c r="K49" s="201"/>
      <c r="L49" s="198"/>
      <c r="M49" s="202"/>
      <c r="N49" s="198"/>
      <c r="O49" s="198"/>
      <c r="P49" s="198"/>
      <c r="Q49" s="178"/>
      <c r="R49" s="60"/>
    </row>
    <row r="50" spans="1:18" ht="12" outlineLevel="1">
      <c r="A50" s="207" t="s">
        <v>146</v>
      </c>
      <c r="B50" s="13"/>
      <c r="C50" s="13"/>
      <c r="D50" s="13"/>
      <c r="E50" s="201"/>
      <c r="F50" s="202"/>
      <c r="G50" s="202"/>
      <c r="H50" s="198"/>
      <c r="I50" s="203"/>
      <c r="J50" s="200"/>
      <c r="K50" s="201"/>
      <c r="L50" s="198"/>
      <c r="M50" s="202"/>
      <c r="N50" s="198"/>
      <c r="O50" s="198"/>
      <c r="P50" s="198"/>
      <c r="Q50" s="178"/>
      <c r="R50" s="60"/>
    </row>
    <row r="51" spans="1:18" ht="12" outlineLevel="2">
      <c r="A51" s="13" t="s">
        <v>147</v>
      </c>
      <c r="B51" s="13" t="s">
        <v>148</v>
      </c>
      <c r="C51" s="13"/>
      <c r="D51" s="13"/>
      <c r="E51" s="201" t="s">
        <v>113</v>
      </c>
      <c r="F51" s="363">
        <v>6</v>
      </c>
      <c r="G51" s="202">
        <f>Machinery!U5</f>
        <v>13.88796</v>
      </c>
      <c r="H51" s="198">
        <f>G51*F51</f>
        <v>83.32776</v>
      </c>
      <c r="I51" s="203"/>
      <c r="J51" s="200" t="s">
        <v>2</v>
      </c>
      <c r="K51" s="209"/>
      <c r="L51" s="203"/>
      <c r="M51" s="363">
        <v>30</v>
      </c>
      <c r="N51" s="337">
        <f>Assumptions!G29</f>
        <v>10.6</v>
      </c>
      <c r="O51" s="198">
        <f>+N51*M51</f>
        <v>318</v>
      </c>
      <c r="P51" s="198">
        <f>O51+L51+H51</f>
        <v>401.32776</v>
      </c>
      <c r="Q51" s="178"/>
      <c r="R51" s="60"/>
    </row>
    <row r="52" spans="1:18" ht="12" outlineLevel="2">
      <c r="A52" s="13" t="s">
        <v>147</v>
      </c>
      <c r="B52" s="13" t="s">
        <v>201</v>
      </c>
      <c r="C52" s="13"/>
      <c r="D52" s="13" t="s">
        <v>2</v>
      </c>
      <c r="E52" s="201" t="s">
        <v>251</v>
      </c>
      <c r="F52" s="363">
        <v>9</v>
      </c>
      <c r="G52" s="268">
        <f>Machinery!U5+Machinery!V19</f>
        <v>26.816959999999998</v>
      </c>
      <c r="H52" s="198">
        <f>G52*F52</f>
        <v>241.35263999999998</v>
      </c>
      <c r="I52" s="203"/>
      <c r="J52" s="200"/>
      <c r="K52" s="209"/>
      <c r="L52" s="203"/>
      <c r="M52" s="202">
        <f>F52*1.2</f>
        <v>10.799999999999999</v>
      </c>
      <c r="N52" s="337">
        <f>Assumptions!G29</f>
        <v>10.6</v>
      </c>
      <c r="O52" s="198">
        <f>+N52*M52</f>
        <v>114.47999999999999</v>
      </c>
      <c r="P52" s="198">
        <f>O52+L52+H52</f>
        <v>355.83263999999997</v>
      </c>
      <c r="Q52" s="178"/>
      <c r="R52" s="60"/>
    </row>
    <row r="53" spans="1:144" s="177" customFormat="1" ht="12" outlineLevel="1">
      <c r="A53" s="227" t="s">
        <v>149</v>
      </c>
      <c r="B53" s="227"/>
      <c r="C53" s="227"/>
      <c r="D53" s="227"/>
      <c r="E53" s="228"/>
      <c r="F53" s="229"/>
      <c r="G53" s="229"/>
      <c r="H53" s="230">
        <f>SUM(H41:H52)-H48</f>
        <v>482.0447316666666</v>
      </c>
      <c r="I53" s="230"/>
      <c r="J53" s="231"/>
      <c r="K53" s="243"/>
      <c r="L53" s="230">
        <f>SUM(L41:L52)-L48</f>
        <v>661.8400000000001</v>
      </c>
      <c r="M53" s="260">
        <f>SUM(M41:M52)-M48</f>
        <v>84.9</v>
      </c>
      <c r="N53" s="230"/>
      <c r="O53" s="230">
        <f>SUM(O41:O52)-O48</f>
        <v>912.1800000000001</v>
      </c>
      <c r="P53" s="230">
        <f>SUM(P41:P52)-P48</f>
        <v>2056.0647316666673</v>
      </c>
      <c r="Q53" s="230">
        <f>Q39+P53</f>
        <v>7701.524815000001</v>
      </c>
      <c r="R53" s="60"/>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row>
    <row r="54" spans="1:18" ht="12" outlineLevel="1">
      <c r="A54" s="153" t="s">
        <v>16</v>
      </c>
      <c r="B54" s="13"/>
      <c r="C54" s="13"/>
      <c r="D54" s="13"/>
      <c r="E54" s="201"/>
      <c r="F54" s="202"/>
      <c r="G54" s="202"/>
      <c r="H54" s="198" t="s">
        <v>2</v>
      </c>
      <c r="I54" s="198"/>
      <c r="J54" s="200"/>
      <c r="K54" s="201"/>
      <c r="L54" s="198"/>
      <c r="M54" s="202"/>
      <c r="N54" s="198"/>
      <c r="O54" s="198"/>
      <c r="P54" s="198"/>
      <c r="Q54" s="178"/>
      <c r="R54" s="60"/>
    </row>
    <row r="55" spans="1:18" ht="12" outlineLevel="2">
      <c r="A55" s="13" t="s">
        <v>142</v>
      </c>
      <c r="B55" s="13" t="s">
        <v>150</v>
      </c>
      <c r="C55" s="13"/>
      <c r="D55" s="13"/>
      <c r="E55" s="201" t="s">
        <v>137</v>
      </c>
      <c r="F55" s="202"/>
      <c r="G55" s="202"/>
      <c r="H55" s="198"/>
      <c r="I55" s="198"/>
      <c r="J55" s="200"/>
      <c r="K55" s="201"/>
      <c r="L55" s="198"/>
      <c r="M55" s="363">
        <v>1.5</v>
      </c>
      <c r="N55" s="337">
        <f>Assumptions!G29</f>
        <v>10.6</v>
      </c>
      <c r="O55" s="198">
        <f aca="true" t="shared" si="4" ref="O55:O60">+N55*M55</f>
        <v>15.899999999999999</v>
      </c>
      <c r="P55" s="198">
        <f aca="true" t="shared" si="5" ref="P55:P60">O55+L55+H55</f>
        <v>15.899999999999999</v>
      </c>
      <c r="Q55" s="178"/>
      <c r="R55" s="60"/>
    </row>
    <row r="56" spans="1:18" ht="12" outlineLevel="2">
      <c r="A56" s="13" t="s">
        <v>142</v>
      </c>
      <c r="B56" s="13" t="s">
        <v>177</v>
      </c>
      <c r="C56" s="13"/>
      <c r="D56" s="13"/>
      <c r="E56" s="201" t="s">
        <v>202</v>
      </c>
      <c r="F56" s="363">
        <v>2</v>
      </c>
      <c r="G56" s="268">
        <f>Machinery!V20</f>
        <v>7.206266666666667</v>
      </c>
      <c r="H56" s="198">
        <f>G56*F56</f>
        <v>14.412533333333334</v>
      </c>
      <c r="I56" s="198"/>
      <c r="J56" s="200"/>
      <c r="K56" s="201"/>
      <c r="L56" s="198"/>
      <c r="M56" s="363">
        <v>0.2</v>
      </c>
      <c r="N56" s="337">
        <f>Assumptions!G28</f>
        <v>14</v>
      </c>
      <c r="O56" s="198">
        <f t="shared" si="4"/>
        <v>2.8000000000000003</v>
      </c>
      <c r="P56" s="198">
        <f t="shared" si="5"/>
        <v>17.212533333333333</v>
      </c>
      <c r="Q56" s="178"/>
      <c r="R56" s="60"/>
    </row>
    <row r="57" spans="1:18" ht="12" outlineLevel="2">
      <c r="A57" s="272" t="s">
        <v>144</v>
      </c>
      <c r="B57" s="13" t="s">
        <v>328</v>
      </c>
      <c r="C57" s="13"/>
      <c r="D57" s="13"/>
      <c r="E57" s="6" t="s">
        <v>184</v>
      </c>
      <c r="F57" s="363">
        <v>0.65</v>
      </c>
      <c r="G57" s="202">
        <f>Machinery!U$5+Machinery!U$9</f>
        <v>20.65756</v>
      </c>
      <c r="H57" s="198">
        <f>G57*F57</f>
        <v>13.427414</v>
      </c>
      <c r="I57" s="33"/>
      <c r="J57"/>
      <c r="K57" s="5"/>
      <c r="L57"/>
      <c r="M57" s="202">
        <f>+F57*1.2</f>
        <v>0.78</v>
      </c>
      <c r="N57" s="337">
        <f>Assumptions!G$29</f>
        <v>10.6</v>
      </c>
      <c r="O57" s="198">
        <f>+N57*M57</f>
        <v>8.268</v>
      </c>
      <c r="P57" s="198">
        <f t="shared" si="5"/>
        <v>21.695414</v>
      </c>
      <c r="Q57" s="178"/>
      <c r="R57" s="60"/>
    </row>
    <row r="58" spans="1:18" ht="12" outlineLevel="2">
      <c r="A58" s="272"/>
      <c r="B58" s="13"/>
      <c r="C58" s="366" t="s">
        <v>353</v>
      </c>
      <c r="D58" s="366"/>
      <c r="E58" s="6" t="s">
        <v>2</v>
      </c>
      <c r="F58" s="268"/>
      <c r="G58" s="202"/>
      <c r="H58" s="198"/>
      <c r="I58" s="367">
        <v>1.59</v>
      </c>
      <c r="J58" s="370" t="s">
        <v>35</v>
      </c>
      <c r="K58" s="369">
        <v>48</v>
      </c>
      <c r="L58" s="198">
        <f>+K58*I58</f>
        <v>76.32000000000001</v>
      </c>
      <c r="M58" s="268">
        <v>0</v>
      </c>
      <c r="N58" s="337">
        <f>Assumptions!G$29</f>
        <v>10.6</v>
      </c>
      <c r="O58" s="198">
        <f>+N58*M58</f>
        <v>0</v>
      </c>
      <c r="P58" s="198">
        <f t="shared" si="5"/>
        <v>76.32000000000001</v>
      </c>
      <c r="Q58" s="178"/>
      <c r="R58" s="60"/>
    </row>
    <row r="59" spans="1:18" ht="12" outlineLevel="2">
      <c r="A59" s="13" t="s">
        <v>144</v>
      </c>
      <c r="B59" s="13" t="s">
        <v>177</v>
      </c>
      <c r="C59" s="13"/>
      <c r="D59" s="13"/>
      <c r="E59" s="201" t="s">
        <v>202</v>
      </c>
      <c r="F59" s="363">
        <v>2</v>
      </c>
      <c r="G59" s="268">
        <f>Machinery!V20</f>
        <v>7.206266666666667</v>
      </c>
      <c r="H59" s="198">
        <f>G59*F59</f>
        <v>14.412533333333334</v>
      </c>
      <c r="I59" s="198"/>
      <c r="J59" s="200"/>
      <c r="K59" s="201"/>
      <c r="L59" s="198"/>
      <c r="M59" s="363">
        <v>0.2</v>
      </c>
      <c r="N59" s="337">
        <f>Assumptions!G28</f>
        <v>14</v>
      </c>
      <c r="O59" s="198">
        <f t="shared" si="4"/>
        <v>2.8000000000000003</v>
      </c>
      <c r="P59" s="198">
        <f t="shared" si="5"/>
        <v>17.212533333333333</v>
      </c>
      <c r="Q59" s="178"/>
      <c r="R59" s="60"/>
    </row>
    <row r="60" spans="1:18" ht="12" outlineLevel="2">
      <c r="A60" s="13" t="s">
        <v>147</v>
      </c>
      <c r="B60" s="13" t="s">
        <v>153</v>
      </c>
      <c r="C60" s="13"/>
      <c r="D60" s="13"/>
      <c r="E60" s="201" t="s">
        <v>137</v>
      </c>
      <c r="F60" s="202"/>
      <c r="G60" s="202"/>
      <c r="H60" s="198"/>
      <c r="I60" s="210"/>
      <c r="J60" s="200"/>
      <c r="K60" s="201"/>
      <c r="L60" s="198"/>
      <c r="M60" s="363">
        <v>2</v>
      </c>
      <c r="N60" s="337">
        <f>Assumptions!G29</f>
        <v>10.6</v>
      </c>
      <c r="O60" s="198">
        <f t="shared" si="4"/>
        <v>21.2</v>
      </c>
      <c r="P60" s="198">
        <f t="shared" si="5"/>
        <v>21.2</v>
      </c>
      <c r="Q60" s="178"/>
      <c r="R60" s="60"/>
    </row>
    <row r="61" spans="1:144" s="177" customFormat="1" ht="12" outlineLevel="1">
      <c r="A61" s="227" t="s">
        <v>154</v>
      </c>
      <c r="B61" s="227"/>
      <c r="C61" s="227"/>
      <c r="D61" s="227"/>
      <c r="E61" s="227"/>
      <c r="F61" s="227"/>
      <c r="G61" s="227"/>
      <c r="H61" s="230">
        <f>SUM(H55:H60)</f>
        <v>42.25248066666667</v>
      </c>
      <c r="I61" s="230"/>
      <c r="J61" s="227"/>
      <c r="K61" s="228"/>
      <c r="L61" s="230">
        <f>SUM(L55:L60)</f>
        <v>76.32000000000001</v>
      </c>
      <c r="M61" s="260">
        <f>SUM(M55:M60)</f>
        <v>4.68</v>
      </c>
      <c r="N61" s="227"/>
      <c r="O61" s="230">
        <f>SUM(O55:O60)</f>
        <v>50.968</v>
      </c>
      <c r="P61" s="230">
        <f>SUM(P55:P60)</f>
        <v>169.54048066666667</v>
      </c>
      <c r="Q61" s="230">
        <f>Q53+P61</f>
        <v>7871.065295666667</v>
      </c>
      <c r="R61" s="60"/>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row>
    <row r="62" spans="1:144" s="218" customFormat="1" ht="12">
      <c r="A62" s="246" t="s">
        <v>204</v>
      </c>
      <c r="B62" s="224"/>
      <c r="C62" s="224"/>
      <c r="D62" s="224"/>
      <c r="E62" s="225"/>
      <c r="F62" s="226"/>
      <c r="G62" s="226"/>
      <c r="H62" s="238">
        <f>SUM(H51:H61)-H53-H61</f>
        <v>366.93288066666673</v>
      </c>
      <c r="I62" s="238"/>
      <c r="J62" s="249"/>
      <c r="K62" s="250"/>
      <c r="L62" s="238">
        <f>SUM(L51:L61)-L53-L61</f>
        <v>76.32000000000009</v>
      </c>
      <c r="M62" s="274">
        <f>SUM(M51:M61)-M53-M61</f>
        <v>45.48</v>
      </c>
      <c r="N62" s="238"/>
      <c r="O62" s="238">
        <f>SUM(O51:O61)-O53-O61</f>
        <v>483.44800000000015</v>
      </c>
      <c r="P62" s="238">
        <f>SUM(P51:P61)-P53-P61</f>
        <v>926.7008806666662</v>
      </c>
      <c r="Q62" s="238">
        <f>Q48+P62</f>
        <v>7871.065295666666</v>
      </c>
      <c r="R62" s="60"/>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row>
    <row r="63" spans="1:18" s="169" customFormat="1" ht="12">
      <c r="A63" s="247"/>
      <c r="E63" s="116"/>
      <c r="F63" s="117"/>
      <c r="G63" s="117"/>
      <c r="H63" s="118"/>
      <c r="I63" s="118"/>
      <c r="J63" s="115"/>
      <c r="K63" s="116"/>
      <c r="L63" s="118"/>
      <c r="M63" s="117"/>
      <c r="N63" s="118"/>
      <c r="O63" s="118"/>
      <c r="P63" s="118"/>
      <c r="Q63" s="248"/>
      <c r="R63" s="60"/>
    </row>
    <row r="64" spans="1:18" ht="12">
      <c r="A64" s="207" t="s">
        <v>157</v>
      </c>
      <c r="B64" s="13"/>
      <c r="C64" s="13"/>
      <c r="D64" s="13"/>
      <c r="E64" s="201"/>
      <c r="F64" s="202"/>
      <c r="G64" s="202"/>
      <c r="H64" s="198"/>
      <c r="I64" s="198"/>
      <c r="J64" s="200"/>
      <c r="K64" s="201"/>
      <c r="L64" s="198"/>
      <c r="M64" s="202"/>
      <c r="N64" s="198"/>
      <c r="O64" s="198"/>
      <c r="P64" s="208"/>
      <c r="Q64" s="206"/>
      <c r="R64" s="60"/>
    </row>
    <row r="65" spans="1:18" ht="12">
      <c r="A65" s="153" t="s">
        <v>1</v>
      </c>
      <c r="B65" s="13"/>
      <c r="C65" s="13"/>
      <c r="D65" s="13"/>
      <c r="E65" s="201"/>
      <c r="F65" s="202"/>
      <c r="G65" s="202"/>
      <c r="H65" s="198" t="s">
        <v>2</v>
      </c>
      <c r="I65" s="198"/>
      <c r="J65" s="200"/>
      <c r="K65" s="201"/>
      <c r="L65" s="198"/>
      <c r="M65" s="202"/>
      <c r="N65" s="198"/>
      <c r="O65" s="198"/>
      <c r="P65" s="198"/>
      <c r="Q65" s="178"/>
      <c r="R65" s="60"/>
    </row>
    <row r="66" spans="1:18" ht="12" outlineLevel="2">
      <c r="A66" s="13" t="s">
        <v>142</v>
      </c>
      <c r="B66" s="13" t="s">
        <v>339</v>
      </c>
      <c r="C66" s="13"/>
      <c r="D66" s="13"/>
      <c r="E66" s="201" t="s">
        <v>137</v>
      </c>
      <c r="F66" s="202"/>
      <c r="G66" s="202"/>
      <c r="H66" s="198"/>
      <c r="I66" s="198"/>
      <c r="J66" s="200"/>
      <c r="K66" s="201"/>
      <c r="L66" s="198"/>
      <c r="M66" s="363">
        <v>27</v>
      </c>
      <c r="N66" s="337">
        <f>Assumptions!G29</f>
        <v>10.6</v>
      </c>
      <c r="O66" s="198">
        <f>+N66*M66</f>
        <v>286.2</v>
      </c>
      <c r="P66" s="198">
        <f>O66+L66+H66</f>
        <v>286.2</v>
      </c>
      <c r="Q66" s="178"/>
      <c r="R66" s="60"/>
    </row>
    <row r="67" spans="1:18" ht="12" outlineLevel="2">
      <c r="A67" s="13" t="s">
        <v>138</v>
      </c>
      <c r="B67" s="13" t="s">
        <v>155</v>
      </c>
      <c r="C67" s="13"/>
      <c r="D67" s="13"/>
      <c r="E67" s="201" t="s">
        <v>137</v>
      </c>
      <c r="F67" s="205"/>
      <c r="G67" s="205"/>
      <c r="H67" s="198"/>
      <c r="I67" s="367">
        <v>0.26</v>
      </c>
      <c r="J67" s="370" t="s">
        <v>213</v>
      </c>
      <c r="K67" s="369">
        <v>4840</v>
      </c>
      <c r="L67" s="203">
        <f>K67*I67</f>
        <v>1258.4</v>
      </c>
      <c r="M67" s="363">
        <v>4</v>
      </c>
      <c r="N67" s="337">
        <f>Assumptions!G29</f>
        <v>10.6</v>
      </c>
      <c r="O67" s="203">
        <f>+N67*M67</f>
        <v>42.4</v>
      </c>
      <c r="P67" s="198">
        <f>O67+L67+H67</f>
        <v>1300.8000000000002</v>
      </c>
      <c r="Q67" s="178"/>
      <c r="R67" s="60"/>
    </row>
    <row r="68" spans="1:18" ht="12" outlineLevel="2">
      <c r="A68" s="13" t="s">
        <v>2</v>
      </c>
      <c r="B68" s="13" t="s">
        <v>156</v>
      </c>
      <c r="C68" s="13"/>
      <c r="D68" s="13"/>
      <c r="E68" s="201" t="s">
        <v>203</v>
      </c>
      <c r="F68" s="363">
        <v>0.108</v>
      </c>
      <c r="G68" s="202">
        <f>Machinery!U4</f>
        <v>7.897500000000001</v>
      </c>
      <c r="H68" s="198">
        <f>G68*F68</f>
        <v>0.8529300000000001</v>
      </c>
      <c r="I68" s="367">
        <v>0.1</v>
      </c>
      <c r="J68" s="370" t="s">
        <v>26</v>
      </c>
      <c r="K68" s="369">
        <v>500</v>
      </c>
      <c r="L68" s="198">
        <f>+(K68*I68)</f>
        <v>50</v>
      </c>
      <c r="M68" s="363">
        <v>2</v>
      </c>
      <c r="N68" s="337">
        <f>Assumptions!G29</f>
        <v>10.6</v>
      </c>
      <c r="O68" s="198">
        <f>+N68*M68</f>
        <v>21.2</v>
      </c>
      <c r="P68" s="198">
        <f>O68+L68+H68</f>
        <v>72.05293</v>
      </c>
      <c r="Q68" s="178"/>
      <c r="R68" s="60"/>
    </row>
    <row r="69" spans="1:144" s="177" customFormat="1" ht="12" outlineLevel="1">
      <c r="A69" s="227" t="s">
        <v>160</v>
      </c>
      <c r="B69" s="227"/>
      <c r="C69" s="227"/>
      <c r="D69" s="227"/>
      <c r="E69" s="228"/>
      <c r="F69" s="229"/>
      <c r="G69" s="229"/>
      <c r="H69" s="230">
        <f>SUM(H66:H68)</f>
        <v>0.8529300000000001</v>
      </c>
      <c r="I69" s="230"/>
      <c r="J69" s="231"/>
      <c r="K69" s="228"/>
      <c r="L69" s="230">
        <f>SUM(L66:L68)</f>
        <v>1308.4</v>
      </c>
      <c r="M69" s="260">
        <f>SUM(M66:M68)</f>
        <v>33</v>
      </c>
      <c r="N69" s="230"/>
      <c r="O69" s="230">
        <f>SUM(O66:O68)</f>
        <v>349.79999999999995</v>
      </c>
      <c r="P69" s="230">
        <f>SUM(P66:P68)</f>
        <v>1659.0529300000003</v>
      </c>
      <c r="Q69" s="230">
        <f>Q61+P69</f>
        <v>9530.118225666667</v>
      </c>
      <c r="R69" s="60"/>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row>
    <row r="70" spans="1:18" ht="12" outlineLevel="1">
      <c r="A70" s="153" t="s">
        <v>28</v>
      </c>
      <c r="B70" s="13"/>
      <c r="C70" s="13"/>
      <c r="D70" s="13"/>
      <c r="E70" s="201"/>
      <c r="F70" s="202"/>
      <c r="G70" s="202"/>
      <c r="H70" s="198" t="s">
        <v>2</v>
      </c>
      <c r="I70" s="198"/>
      <c r="J70" s="200"/>
      <c r="K70" s="201"/>
      <c r="L70" s="198"/>
      <c r="M70" s="202"/>
      <c r="N70" s="198"/>
      <c r="O70" s="198"/>
      <c r="P70" s="198"/>
      <c r="Q70" s="178"/>
      <c r="R70" s="60"/>
    </row>
    <row r="71" spans="1:18" ht="12" outlineLevel="2">
      <c r="A71" s="13" t="s">
        <v>144</v>
      </c>
      <c r="B71" s="13" t="s">
        <v>158</v>
      </c>
      <c r="C71" s="13"/>
      <c r="D71" s="13"/>
      <c r="E71" s="201" t="s">
        <v>137</v>
      </c>
      <c r="F71" s="202"/>
      <c r="G71" s="202"/>
      <c r="H71" s="198"/>
      <c r="I71" s="198"/>
      <c r="J71" s="200"/>
      <c r="K71" s="201"/>
      <c r="L71" s="198"/>
      <c r="M71" s="363">
        <v>6</v>
      </c>
      <c r="N71" s="337">
        <f>Assumptions!G29</f>
        <v>10.6</v>
      </c>
      <c r="O71" s="198">
        <f>+N71*M71</f>
        <v>63.599999999999994</v>
      </c>
      <c r="P71" s="198">
        <f>O71+L71+H71</f>
        <v>63.599999999999994</v>
      </c>
      <c r="Q71" s="178"/>
      <c r="R71" s="60"/>
    </row>
    <row r="72" spans="1:18" ht="12" outlineLevel="2">
      <c r="A72" s="13" t="s">
        <v>147</v>
      </c>
      <c r="B72" s="13" t="s">
        <v>214</v>
      </c>
      <c r="C72" s="13"/>
      <c r="D72" s="13"/>
      <c r="E72" s="201" t="s">
        <v>137</v>
      </c>
      <c r="F72" s="202"/>
      <c r="G72" s="202"/>
      <c r="H72" s="198"/>
      <c r="I72" s="198"/>
      <c r="J72" s="200"/>
      <c r="K72" s="201"/>
      <c r="L72" s="198"/>
      <c r="M72" s="363">
        <v>44</v>
      </c>
      <c r="N72" s="337">
        <f>Assumptions!G29</f>
        <v>10.6</v>
      </c>
      <c r="O72" s="198">
        <f>+N72*M72</f>
        <v>466.4</v>
      </c>
      <c r="P72" s="198">
        <f>O72+L72+H72</f>
        <v>466.4</v>
      </c>
      <c r="Q72" s="178"/>
      <c r="R72" s="60"/>
    </row>
    <row r="73" spans="1:144" s="177" customFormat="1" ht="12" outlineLevel="1">
      <c r="A73" s="227" t="s">
        <v>161</v>
      </c>
      <c r="B73" s="227"/>
      <c r="C73" s="227"/>
      <c r="D73" s="227"/>
      <c r="E73" s="227"/>
      <c r="F73" s="227"/>
      <c r="G73" s="227"/>
      <c r="H73" s="230">
        <f>SUM(H71:H72)</f>
        <v>0</v>
      </c>
      <c r="I73" s="230"/>
      <c r="J73" s="227"/>
      <c r="K73" s="228"/>
      <c r="L73" s="230">
        <f>SUM(L71:L72)</f>
        <v>0</v>
      </c>
      <c r="M73" s="260">
        <f>SUM(M71:M72)</f>
        <v>50</v>
      </c>
      <c r="N73" s="227"/>
      <c r="O73" s="230">
        <f>SUM(O71:O72)</f>
        <v>530</v>
      </c>
      <c r="P73" s="230">
        <f>SUM(P71:P72)</f>
        <v>530</v>
      </c>
      <c r="Q73" s="230">
        <f>Q69+P73</f>
        <v>10060.118225666667</v>
      </c>
      <c r="R73" s="60"/>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row>
    <row r="74" spans="1:18" ht="12" outlineLevel="1">
      <c r="A74" s="153" t="s">
        <v>27</v>
      </c>
      <c r="B74" s="13"/>
      <c r="C74" s="13"/>
      <c r="D74" s="13"/>
      <c r="E74" s="201"/>
      <c r="F74" s="202"/>
      <c r="G74" s="202"/>
      <c r="H74" s="198"/>
      <c r="I74" s="198"/>
      <c r="J74" s="200"/>
      <c r="K74" s="201"/>
      <c r="L74" s="198"/>
      <c r="M74" s="202"/>
      <c r="N74" s="198"/>
      <c r="O74" s="198"/>
      <c r="P74" s="198"/>
      <c r="Q74" s="178"/>
      <c r="R74" s="60"/>
    </row>
    <row r="75" spans="1:18" ht="12" outlineLevel="1">
      <c r="A75" s="13" t="s">
        <v>138</v>
      </c>
      <c r="B75" s="13" t="s">
        <v>162</v>
      </c>
      <c r="C75" s="13"/>
      <c r="D75" s="13"/>
      <c r="E75" s="201"/>
      <c r="F75" s="202"/>
      <c r="G75" s="202"/>
      <c r="H75" s="198"/>
      <c r="I75" s="198"/>
      <c r="J75" s="200"/>
      <c r="K75" s="201"/>
      <c r="L75" s="198"/>
      <c r="M75" s="363">
        <v>1</v>
      </c>
      <c r="N75" s="337">
        <f>Assumptions!G28</f>
        <v>14</v>
      </c>
      <c r="O75" s="198">
        <f>+M75*N75</f>
        <v>14</v>
      </c>
      <c r="P75" s="198">
        <f>O75+L75+H75</f>
        <v>14</v>
      </c>
      <c r="Q75" s="178"/>
      <c r="R75" s="60"/>
    </row>
    <row r="76" spans="1:18" s="169" customFormat="1" ht="12" outlineLevel="1">
      <c r="A76" s="269" t="s">
        <v>138</v>
      </c>
      <c r="B76" s="269" t="s">
        <v>171</v>
      </c>
      <c r="C76" s="269"/>
      <c r="D76" s="269"/>
      <c r="E76" s="269" t="s">
        <v>137</v>
      </c>
      <c r="F76" s="269"/>
      <c r="G76" s="269"/>
      <c r="H76" s="270"/>
      <c r="I76" s="270"/>
      <c r="J76" s="269"/>
      <c r="K76" s="271"/>
      <c r="L76" s="270"/>
      <c r="M76" s="363">
        <v>6</v>
      </c>
      <c r="N76" s="337">
        <f>Assumptions!G29</f>
        <v>10.6</v>
      </c>
      <c r="O76" s="198">
        <f>+M76*N76</f>
        <v>63.599999999999994</v>
      </c>
      <c r="P76" s="198">
        <f>O76+L76+H76</f>
        <v>63.599999999999994</v>
      </c>
      <c r="Q76" s="270"/>
      <c r="R76" s="160"/>
    </row>
    <row r="77" spans="1:144" s="218" customFormat="1" ht="12">
      <c r="A77" s="246" t="s">
        <v>205</v>
      </c>
      <c r="B77" s="224"/>
      <c r="C77" s="224"/>
      <c r="D77" s="224"/>
      <c r="E77" s="225"/>
      <c r="F77" s="226"/>
      <c r="G77" s="226"/>
      <c r="H77" s="238">
        <f>SUM(H66:H76)-H69-H73</f>
        <v>0.8529300000000001</v>
      </c>
      <c r="I77" s="238"/>
      <c r="J77" s="249"/>
      <c r="K77" s="250"/>
      <c r="L77" s="238">
        <f>SUM(L66:L76)-L69-L73</f>
        <v>1308.4</v>
      </c>
      <c r="M77" s="274">
        <f>SUM(M66:M76)-M69-M73</f>
        <v>90</v>
      </c>
      <c r="N77" s="238"/>
      <c r="O77" s="238">
        <f>SUM(O66:O76)-O69-O73</f>
        <v>957.3999999999999</v>
      </c>
      <c r="P77" s="238">
        <f>SUM(P66:P76)-P69-P73</f>
        <v>2266.6529300000007</v>
      </c>
      <c r="Q77" s="238">
        <f>Q62+P77</f>
        <v>10137.718225666667</v>
      </c>
      <c r="R77" s="60"/>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69"/>
      <c r="DM77" s="169"/>
      <c r="DN77" s="169"/>
      <c r="DO77" s="169"/>
      <c r="DP77" s="169"/>
      <c r="DQ77" s="169"/>
      <c r="DR77" s="169"/>
      <c r="DS77" s="169"/>
      <c r="DT77" s="169"/>
      <c r="DU77" s="169"/>
      <c r="DV77" s="169"/>
      <c r="DW77" s="169"/>
      <c r="DX77" s="169"/>
      <c r="DY77" s="169"/>
      <c r="DZ77" s="169"/>
      <c r="EA77" s="169"/>
      <c r="EB77" s="169"/>
      <c r="EC77" s="169"/>
      <c r="ED77" s="169"/>
      <c r="EE77" s="169"/>
      <c r="EF77" s="169"/>
      <c r="EG77" s="169"/>
      <c r="EH77" s="169"/>
      <c r="EI77" s="169"/>
      <c r="EJ77" s="169"/>
      <c r="EK77" s="169"/>
      <c r="EL77" s="169"/>
      <c r="EM77" s="169"/>
      <c r="EN77" s="169"/>
    </row>
    <row r="78" spans="8:18" s="169" customFormat="1" ht="12">
      <c r="H78" s="118"/>
      <c r="I78" s="118"/>
      <c r="K78" s="116"/>
      <c r="L78" s="118"/>
      <c r="O78" s="118"/>
      <c r="P78" s="251"/>
      <c r="Q78" s="118"/>
      <c r="R78" s="60"/>
    </row>
    <row r="79" spans="1:18" ht="12">
      <c r="A79" s="207" t="s">
        <v>163</v>
      </c>
      <c r="B79" s="13"/>
      <c r="C79" s="13"/>
      <c r="D79" s="13"/>
      <c r="E79" s="201"/>
      <c r="F79" s="202"/>
      <c r="G79" s="202"/>
      <c r="H79" s="198"/>
      <c r="I79" s="198"/>
      <c r="J79" s="200"/>
      <c r="K79" s="201"/>
      <c r="L79" s="198"/>
      <c r="M79" s="202"/>
      <c r="N79" s="198"/>
      <c r="O79" s="198"/>
      <c r="P79" s="198"/>
      <c r="Q79" s="178"/>
      <c r="R79" s="60"/>
    </row>
    <row r="80" spans="1:18" ht="12" outlineLevel="1">
      <c r="A80" s="13" t="s">
        <v>144</v>
      </c>
      <c r="B80" s="13" t="s">
        <v>164</v>
      </c>
      <c r="C80" s="13"/>
      <c r="D80" s="13"/>
      <c r="E80" s="201" t="s">
        <v>137</v>
      </c>
      <c r="F80" s="202"/>
      <c r="G80" s="202"/>
      <c r="H80" s="198"/>
      <c r="I80" s="198"/>
      <c r="J80" s="200"/>
      <c r="K80" s="201"/>
      <c r="L80" s="198"/>
      <c r="M80" s="363">
        <v>15</v>
      </c>
      <c r="N80" s="337">
        <f>Assumptions!G29</f>
        <v>10.6</v>
      </c>
      <c r="O80" s="198">
        <f>+N80*M80</f>
        <v>159</v>
      </c>
      <c r="P80" s="198">
        <f aca="true" t="shared" si="6" ref="P80:P90">O80+L80+H80</f>
        <v>159</v>
      </c>
      <c r="Q80" s="178"/>
      <c r="R80" s="60"/>
    </row>
    <row r="81" spans="1:18" ht="12" outlineLevel="1">
      <c r="A81" s="272" t="s">
        <v>144</v>
      </c>
      <c r="B81" s="13" t="s">
        <v>348</v>
      </c>
      <c r="C81" s="13"/>
      <c r="D81" s="13"/>
      <c r="E81" s="6" t="s">
        <v>349</v>
      </c>
      <c r="F81" s="363">
        <v>2</v>
      </c>
      <c r="G81" s="202">
        <f>Machinery!U17</f>
        <v>1.16</v>
      </c>
      <c r="H81" s="198">
        <f>G81*F81</f>
        <v>2.32</v>
      </c>
      <c r="I81" s="33"/>
      <c r="J81"/>
      <c r="K81" s="5"/>
      <c r="L81"/>
      <c r="M81" s="202">
        <f>+F81*1.2</f>
        <v>2.4</v>
      </c>
      <c r="N81" s="337">
        <f>Assumptions!G29</f>
        <v>10.6</v>
      </c>
      <c r="O81" s="198">
        <f>+N81*M81</f>
        <v>25.439999999999998</v>
      </c>
      <c r="P81" s="198">
        <f t="shared" si="6"/>
        <v>27.759999999999998</v>
      </c>
      <c r="Q81" s="178"/>
      <c r="R81" s="60"/>
    </row>
    <row r="82" spans="1:18" ht="12" outlineLevel="1">
      <c r="A82" s="13" t="s">
        <v>144</v>
      </c>
      <c r="B82" s="13" t="s">
        <v>162</v>
      </c>
      <c r="C82" s="13"/>
      <c r="D82" s="13"/>
      <c r="E82" s="201"/>
      <c r="F82" s="202"/>
      <c r="G82" s="202"/>
      <c r="H82" s="198"/>
      <c r="I82" s="198"/>
      <c r="J82" s="200"/>
      <c r="K82" s="201"/>
      <c r="L82" s="198"/>
      <c r="M82" s="363">
        <v>1</v>
      </c>
      <c r="N82" s="337">
        <f>Assumptions!G28</f>
        <v>14</v>
      </c>
      <c r="O82" s="198">
        <f>+M82*N82</f>
        <v>14</v>
      </c>
      <c r="P82" s="198">
        <f t="shared" si="6"/>
        <v>14</v>
      </c>
      <c r="Q82" s="178"/>
      <c r="R82" s="60"/>
    </row>
    <row r="83" spans="1:18" ht="12" outlineLevel="1">
      <c r="A83" s="13" t="s">
        <v>144</v>
      </c>
      <c r="B83" s="13" t="s">
        <v>215</v>
      </c>
      <c r="C83" s="13"/>
      <c r="D83" s="13"/>
      <c r="E83" s="6" t="s">
        <v>137</v>
      </c>
      <c r="F83" s="268"/>
      <c r="G83" s="202"/>
      <c r="H83" s="198"/>
      <c r="I83" s="203"/>
      <c r="J83" s="215"/>
      <c r="K83" s="214"/>
      <c r="L83" s="198"/>
      <c r="M83" s="363">
        <v>6</v>
      </c>
      <c r="N83" s="337">
        <f>Assumptions!G29</f>
        <v>10.6</v>
      </c>
      <c r="O83" s="198">
        <f>+M83*N83</f>
        <v>63.599999999999994</v>
      </c>
      <c r="P83" s="198">
        <f t="shared" si="6"/>
        <v>63.599999999999994</v>
      </c>
      <c r="Q83" s="178"/>
      <c r="R83" s="60"/>
    </row>
    <row r="84" spans="1:18" ht="12" outlineLevel="1">
      <c r="A84" s="272" t="s">
        <v>144</v>
      </c>
      <c r="B84" s="13" t="s">
        <v>328</v>
      </c>
      <c r="C84" s="13"/>
      <c r="D84" s="13"/>
      <c r="E84" s="6" t="s">
        <v>184</v>
      </c>
      <c r="F84" s="363">
        <v>0.65</v>
      </c>
      <c r="G84" s="202">
        <f>Machinery!U$5+Machinery!U$9</f>
        <v>20.65756</v>
      </c>
      <c r="H84" s="198">
        <f>G84*F84</f>
        <v>13.427414</v>
      </c>
      <c r="I84" s="33"/>
      <c r="J84"/>
      <c r="K84" s="5"/>
      <c r="L84"/>
      <c r="M84" s="202">
        <f>+F84*1.2</f>
        <v>0.78</v>
      </c>
      <c r="N84" s="337">
        <f>Assumptions!G$29</f>
        <v>10.6</v>
      </c>
      <c r="O84" s="198">
        <f aca="true" t="shared" si="7" ref="O84:O89">+N84*M84</f>
        <v>8.268</v>
      </c>
      <c r="P84" s="198">
        <f>O84+L84+H84</f>
        <v>21.695414</v>
      </c>
      <c r="Q84" s="178"/>
      <c r="R84" s="60"/>
    </row>
    <row r="85" spans="1:18" ht="12" outlineLevel="1">
      <c r="A85" s="272"/>
      <c r="B85" s="13"/>
      <c r="C85" s="366" t="s">
        <v>353</v>
      </c>
      <c r="D85" s="366"/>
      <c r="E85" s="6" t="s">
        <v>2</v>
      </c>
      <c r="F85" s="268"/>
      <c r="G85" s="202"/>
      <c r="H85" s="198"/>
      <c r="I85" s="367">
        <v>1.59</v>
      </c>
      <c r="J85" s="370" t="s">
        <v>35</v>
      </c>
      <c r="K85" s="369">
        <v>48</v>
      </c>
      <c r="L85" s="198">
        <f>+K85*I85</f>
        <v>76.32000000000001</v>
      </c>
      <c r="M85" s="268">
        <v>0</v>
      </c>
      <c r="N85" s="337">
        <f>Assumptions!G$29</f>
        <v>10.6</v>
      </c>
      <c r="O85" s="198">
        <f t="shared" si="7"/>
        <v>0</v>
      </c>
      <c r="P85" s="198">
        <f>O85+L85+H85</f>
        <v>76.32000000000001</v>
      </c>
      <c r="Q85" s="178"/>
      <c r="R85" s="60"/>
    </row>
    <row r="86" spans="1:18" ht="12" outlineLevel="1">
      <c r="A86" s="272" t="s">
        <v>147</v>
      </c>
      <c r="B86" s="13" t="s">
        <v>355</v>
      </c>
      <c r="C86" s="13"/>
      <c r="D86" s="13"/>
      <c r="E86" s="6" t="s">
        <v>137</v>
      </c>
      <c r="F86" s="268"/>
      <c r="G86" s="202"/>
      <c r="H86" s="198"/>
      <c r="I86" s="198"/>
      <c r="J86" s="200"/>
      <c r="K86" s="201"/>
      <c r="L86" s="198"/>
      <c r="M86" s="363">
        <v>2</v>
      </c>
      <c r="N86" s="337">
        <f>Assumptions!G$29</f>
        <v>10.6</v>
      </c>
      <c r="O86" s="198">
        <f t="shared" si="7"/>
        <v>21.2</v>
      </c>
      <c r="P86" s="198">
        <f>O86+L86+H86</f>
        <v>21.2</v>
      </c>
      <c r="Q86" s="178"/>
      <c r="R86" s="60"/>
    </row>
    <row r="87" spans="1:18" ht="12" outlineLevel="1">
      <c r="A87" s="272"/>
      <c r="B87" s="13"/>
      <c r="C87" s="366" t="s">
        <v>354</v>
      </c>
      <c r="D87" s="366"/>
      <c r="E87" s="6"/>
      <c r="F87" s="268"/>
      <c r="G87" s="202"/>
      <c r="H87" s="198"/>
      <c r="I87" s="367">
        <v>20</v>
      </c>
      <c r="J87" s="370" t="s">
        <v>26</v>
      </c>
      <c r="K87" s="369">
        <v>2</v>
      </c>
      <c r="L87" s="198">
        <f>+K87*I87</f>
        <v>40</v>
      </c>
      <c r="M87" s="268">
        <v>0</v>
      </c>
      <c r="N87" s="337">
        <f>Assumptions!G$29</f>
        <v>10.6</v>
      </c>
      <c r="O87" s="198">
        <f t="shared" si="7"/>
        <v>0</v>
      </c>
      <c r="P87" s="198">
        <f>O87+L87+H87</f>
        <v>40</v>
      </c>
      <c r="Q87" s="178"/>
      <c r="R87" s="60"/>
    </row>
    <row r="88" spans="1:18" ht="12" outlineLevel="1">
      <c r="A88" s="13" t="s">
        <v>147</v>
      </c>
      <c r="B88" s="13" t="s">
        <v>165</v>
      </c>
      <c r="C88" s="13"/>
      <c r="D88" s="13"/>
      <c r="E88" s="201" t="s">
        <v>137</v>
      </c>
      <c r="F88" s="202"/>
      <c r="G88" s="202"/>
      <c r="H88" s="198"/>
      <c r="I88" s="198"/>
      <c r="J88" s="200"/>
      <c r="K88" s="201"/>
      <c r="L88" s="198"/>
      <c r="M88" s="363">
        <v>6</v>
      </c>
      <c r="N88" s="337">
        <f>Assumptions!G29</f>
        <v>10.6</v>
      </c>
      <c r="O88" s="198">
        <f t="shared" si="7"/>
        <v>63.599999999999994</v>
      </c>
      <c r="P88" s="198">
        <f t="shared" si="6"/>
        <v>63.599999999999994</v>
      </c>
      <c r="Q88" s="178"/>
      <c r="R88" s="60"/>
    </row>
    <row r="89" spans="1:18" ht="12" outlineLevel="1">
      <c r="A89" s="13" t="s">
        <v>147</v>
      </c>
      <c r="B89" s="13" t="s">
        <v>166</v>
      </c>
      <c r="C89" s="13"/>
      <c r="D89" s="13"/>
      <c r="E89" s="201" t="s">
        <v>137</v>
      </c>
      <c r="F89" s="202"/>
      <c r="G89" s="202"/>
      <c r="H89" s="198"/>
      <c r="I89" s="198"/>
      <c r="J89" s="200"/>
      <c r="K89" s="201"/>
      <c r="L89" s="198"/>
      <c r="M89" s="363">
        <v>0.5</v>
      </c>
      <c r="N89" s="337">
        <f>Assumptions!G28</f>
        <v>14</v>
      </c>
      <c r="O89" s="198">
        <f t="shared" si="7"/>
        <v>7</v>
      </c>
      <c r="P89" s="198">
        <f t="shared" si="6"/>
        <v>7</v>
      </c>
      <c r="Q89" s="178"/>
      <c r="R89" s="60"/>
    </row>
    <row r="90" spans="1:18" ht="12" outlineLevel="1">
      <c r="A90" s="13" t="s">
        <v>147</v>
      </c>
      <c r="B90" s="13" t="s">
        <v>167</v>
      </c>
      <c r="C90" s="13"/>
      <c r="D90" s="13"/>
      <c r="E90" s="201"/>
      <c r="F90" s="202"/>
      <c r="G90" s="202"/>
      <c r="H90" s="198"/>
      <c r="I90" s="198"/>
      <c r="J90" s="200"/>
      <c r="K90" s="201"/>
      <c r="L90" s="198"/>
      <c r="M90" s="363">
        <v>1</v>
      </c>
      <c r="N90" s="337">
        <f>Assumptions!G28</f>
        <v>14</v>
      </c>
      <c r="O90" s="198">
        <f>+M90*N90</f>
        <v>14</v>
      </c>
      <c r="P90" s="198">
        <f t="shared" si="6"/>
        <v>14</v>
      </c>
      <c r="Q90" s="206" t="s">
        <v>2</v>
      </c>
      <c r="R90" s="60"/>
    </row>
    <row r="91" spans="1:144" s="177" customFormat="1" ht="12" outlineLevel="1">
      <c r="A91" s="227" t="s">
        <v>168</v>
      </c>
      <c r="B91" s="227"/>
      <c r="C91" s="227"/>
      <c r="D91" s="227"/>
      <c r="E91" s="228"/>
      <c r="F91" s="229"/>
      <c r="G91" s="229"/>
      <c r="H91" s="230">
        <f>SUM(H80:H90)+SUM(H75:H76)</f>
        <v>15.747414000000001</v>
      </c>
      <c r="I91" s="244"/>
      <c r="J91" s="231"/>
      <c r="K91" s="228"/>
      <c r="L91" s="230">
        <f>SUM(L80:L90)+SUM(L75:L76)</f>
        <v>116.32000000000001</v>
      </c>
      <c r="M91" s="260">
        <f>SUM(M80:M90)+SUM(M75:M76)</f>
        <v>41.68</v>
      </c>
      <c r="N91" s="230"/>
      <c r="O91" s="230">
        <f>SUM(O80:O90)+SUM(O75:O76)</f>
        <v>453.70799999999997</v>
      </c>
      <c r="P91" s="230">
        <f>SUM(P80:P90)+SUM(P75:P76)</f>
        <v>585.7754140000001</v>
      </c>
      <c r="Q91" s="230">
        <f>Q73+P91</f>
        <v>10645.893639666667</v>
      </c>
      <c r="R91" s="60"/>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169"/>
      <c r="BZ91" s="169"/>
      <c r="CA91" s="169"/>
      <c r="CB91" s="169"/>
      <c r="CC91" s="169"/>
      <c r="CD91" s="169"/>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c r="EN91" s="169"/>
    </row>
    <row r="92" spans="1:18" ht="12" outlineLevel="1">
      <c r="A92" s="153" t="s">
        <v>29</v>
      </c>
      <c r="B92" s="13"/>
      <c r="C92" s="13"/>
      <c r="D92" s="13"/>
      <c r="E92" s="201"/>
      <c r="F92" s="202"/>
      <c r="G92" s="202"/>
      <c r="H92" s="198" t="s">
        <v>2</v>
      </c>
      <c r="I92" s="198"/>
      <c r="J92" s="200"/>
      <c r="K92" s="201"/>
      <c r="L92" s="198"/>
      <c r="M92" s="202"/>
      <c r="N92" s="198"/>
      <c r="O92" s="198"/>
      <c r="P92" s="198"/>
      <c r="Q92" s="206"/>
      <c r="R92" s="60"/>
    </row>
    <row r="93" spans="1:18" ht="12" outlineLevel="2">
      <c r="A93" s="13" t="s">
        <v>142</v>
      </c>
      <c r="B93" s="13" t="s">
        <v>151</v>
      </c>
      <c r="C93" s="13"/>
      <c r="D93" s="13"/>
      <c r="E93" s="201" t="s">
        <v>137</v>
      </c>
      <c r="F93" s="202"/>
      <c r="G93" s="202"/>
      <c r="H93" s="198"/>
      <c r="I93" s="367">
        <v>7</v>
      </c>
      <c r="J93" s="370" t="s">
        <v>152</v>
      </c>
      <c r="K93" s="369">
        <v>1</v>
      </c>
      <c r="L93" s="198">
        <f>+K93*I93</f>
        <v>7</v>
      </c>
      <c r="M93" s="363">
        <v>0.5</v>
      </c>
      <c r="N93" s="337">
        <f>Assumptions!G29</f>
        <v>10.6</v>
      </c>
      <c r="O93" s="198">
        <f>+N93*M93</f>
        <v>5.3</v>
      </c>
      <c r="P93" s="198">
        <f aca="true" t="shared" si="8" ref="P93:P122">O93+L93+H93</f>
        <v>12.3</v>
      </c>
      <c r="Q93" s="178"/>
      <c r="R93" s="60"/>
    </row>
    <row r="94" spans="1:18" ht="12" outlineLevel="2">
      <c r="A94" s="13" t="s">
        <v>142</v>
      </c>
      <c r="B94" s="13" t="s">
        <v>169</v>
      </c>
      <c r="C94" s="13"/>
      <c r="D94" s="13"/>
      <c r="E94" s="201" t="s">
        <v>137</v>
      </c>
      <c r="F94" s="202"/>
      <c r="G94" s="202"/>
      <c r="H94" s="198"/>
      <c r="I94" s="198"/>
      <c r="J94" s="200"/>
      <c r="K94" s="201"/>
      <c r="L94" s="198"/>
      <c r="M94" s="363">
        <v>10</v>
      </c>
      <c r="N94" s="337">
        <f>Assumptions!G29</f>
        <v>10.6</v>
      </c>
      <c r="O94" s="198">
        <f>+N94*M94</f>
        <v>106</v>
      </c>
      <c r="P94" s="198">
        <f t="shared" si="8"/>
        <v>106</v>
      </c>
      <c r="Q94" s="178"/>
      <c r="R94" s="60"/>
    </row>
    <row r="95" spans="1:18" ht="12" outlineLevel="2">
      <c r="A95" s="13" t="s">
        <v>142</v>
      </c>
      <c r="B95" s="13" t="s">
        <v>348</v>
      </c>
      <c r="C95" s="13"/>
      <c r="D95" s="13"/>
      <c r="E95" s="6" t="s">
        <v>349</v>
      </c>
      <c r="F95" s="363">
        <v>2</v>
      </c>
      <c r="G95" s="202">
        <f>Machinery!U17</f>
        <v>1.16</v>
      </c>
      <c r="H95" s="198">
        <f>G95*F95</f>
        <v>2.32</v>
      </c>
      <c r="I95" s="33"/>
      <c r="J95"/>
      <c r="K95" s="5"/>
      <c r="L95"/>
      <c r="M95" s="202">
        <f>+F95*1.2</f>
        <v>2.4</v>
      </c>
      <c r="N95" s="337">
        <f>Assumptions!G29</f>
        <v>10.6</v>
      </c>
      <c r="O95" s="198">
        <f>+N95*M95</f>
        <v>25.439999999999998</v>
      </c>
      <c r="P95" s="198">
        <f t="shared" si="8"/>
        <v>27.759999999999998</v>
      </c>
      <c r="Q95" s="178"/>
      <c r="R95" s="60"/>
    </row>
    <row r="96" spans="1:18" ht="12" outlineLevel="2">
      <c r="A96" s="13" t="s">
        <v>142</v>
      </c>
      <c r="B96" s="13" t="s">
        <v>170</v>
      </c>
      <c r="C96" s="13"/>
      <c r="D96" s="13"/>
      <c r="E96" s="201" t="s">
        <v>249</v>
      </c>
      <c r="F96" s="363">
        <v>2</v>
      </c>
      <c r="G96" s="268">
        <f>Machinery!U18+Machinery!V20</f>
        <v>7.6348</v>
      </c>
      <c r="H96" s="198">
        <f>G96*F96</f>
        <v>15.2696</v>
      </c>
      <c r="I96" s="203"/>
      <c r="J96" s="200" t="s">
        <v>2</v>
      </c>
      <c r="K96" s="201"/>
      <c r="L96" s="203"/>
      <c r="M96" s="363">
        <v>1</v>
      </c>
      <c r="N96" s="337">
        <f>Assumptions!G28</f>
        <v>14</v>
      </c>
      <c r="O96" s="198">
        <f>+N96*M96</f>
        <v>14</v>
      </c>
      <c r="P96" s="198">
        <f t="shared" si="8"/>
        <v>29.2696</v>
      </c>
      <c r="Q96" s="178"/>
      <c r="R96" s="60"/>
    </row>
    <row r="97" spans="1:18" ht="12" outlineLevel="2">
      <c r="A97" s="13"/>
      <c r="B97" s="13"/>
      <c r="C97" s="366" t="s">
        <v>361</v>
      </c>
      <c r="D97" s="366"/>
      <c r="E97" s="201" t="s">
        <v>2</v>
      </c>
      <c r="F97" s="202"/>
      <c r="G97" s="202"/>
      <c r="H97" s="198"/>
      <c r="I97" s="367">
        <v>1.02</v>
      </c>
      <c r="J97" s="370" t="s">
        <v>26</v>
      </c>
      <c r="K97" s="369">
        <v>8</v>
      </c>
      <c r="L97" s="203">
        <f>+K97*I97</f>
        <v>8.16</v>
      </c>
      <c r="M97" s="202"/>
      <c r="N97" s="198"/>
      <c r="O97" s="198"/>
      <c r="P97" s="198">
        <f t="shared" si="8"/>
        <v>8.16</v>
      </c>
      <c r="Q97" s="178"/>
      <c r="R97" s="60"/>
    </row>
    <row r="98" spans="1:18" ht="12" outlineLevel="2">
      <c r="A98" s="13"/>
      <c r="B98" s="13"/>
      <c r="C98" s="366" t="s">
        <v>345</v>
      </c>
      <c r="D98" s="366"/>
      <c r="E98" s="201"/>
      <c r="F98" s="202"/>
      <c r="G98" s="202"/>
      <c r="H98" s="198"/>
      <c r="I98" s="367">
        <v>0.68</v>
      </c>
      <c r="J98" s="370" t="s">
        <v>26</v>
      </c>
      <c r="K98" s="369">
        <v>20</v>
      </c>
      <c r="L98" s="203">
        <f>+K98*I98</f>
        <v>13.600000000000001</v>
      </c>
      <c r="M98" s="202"/>
      <c r="N98" s="198"/>
      <c r="O98" s="198"/>
      <c r="P98" s="198">
        <f t="shared" si="8"/>
        <v>13.600000000000001</v>
      </c>
      <c r="Q98" s="178"/>
      <c r="R98" s="60"/>
    </row>
    <row r="99" spans="1:18" ht="12" outlineLevel="2">
      <c r="A99" s="13" t="s">
        <v>142</v>
      </c>
      <c r="B99" s="13" t="s">
        <v>171</v>
      </c>
      <c r="C99" s="13"/>
      <c r="D99" s="13"/>
      <c r="E99" s="201" t="s">
        <v>137</v>
      </c>
      <c r="F99" s="202"/>
      <c r="G99" s="202"/>
      <c r="H99" s="198"/>
      <c r="I99" s="198"/>
      <c r="J99" s="200"/>
      <c r="K99" s="201"/>
      <c r="L99" s="198"/>
      <c r="M99" s="363">
        <v>6</v>
      </c>
      <c r="N99" s="337">
        <f>Assumptions!G29</f>
        <v>10.6</v>
      </c>
      <c r="O99" s="198">
        <f>+N99*M99</f>
        <v>63.599999999999994</v>
      </c>
      <c r="P99" s="198">
        <f t="shared" si="8"/>
        <v>63.599999999999994</v>
      </c>
      <c r="Q99" s="178"/>
      <c r="R99" s="60"/>
    </row>
    <row r="100" spans="1:18" ht="12" outlineLevel="2">
      <c r="A100" s="13" t="s">
        <v>138</v>
      </c>
      <c r="B100" s="13" t="s">
        <v>158</v>
      </c>
      <c r="C100" s="13"/>
      <c r="D100" s="13"/>
      <c r="E100" s="201" t="s">
        <v>137</v>
      </c>
      <c r="F100" s="202"/>
      <c r="G100" s="202"/>
      <c r="H100" s="198"/>
      <c r="I100" s="198"/>
      <c r="J100" s="200"/>
      <c r="K100" s="201"/>
      <c r="L100" s="198"/>
      <c r="M100" s="363">
        <v>6</v>
      </c>
      <c r="N100" s="337">
        <f>Assumptions!G29</f>
        <v>10.6</v>
      </c>
      <c r="O100" s="198">
        <f>+N100*M100</f>
        <v>63.599999999999994</v>
      </c>
      <c r="P100" s="198">
        <f t="shared" si="8"/>
        <v>63.599999999999994</v>
      </c>
      <c r="Q100" s="178"/>
      <c r="R100" s="60"/>
    </row>
    <row r="101" spans="1:18" ht="12" outlineLevel="2">
      <c r="A101" s="13" t="s">
        <v>138</v>
      </c>
      <c r="B101" s="272" t="s">
        <v>162</v>
      </c>
      <c r="C101" s="13"/>
      <c r="D101" s="13"/>
      <c r="E101" s="201"/>
      <c r="F101" s="202"/>
      <c r="G101" s="202"/>
      <c r="H101" s="198"/>
      <c r="I101" s="198"/>
      <c r="J101" s="200"/>
      <c r="K101" s="201"/>
      <c r="L101" s="198"/>
      <c r="M101" s="363">
        <v>1</v>
      </c>
      <c r="N101" s="337">
        <f>Assumptions!G28</f>
        <v>14</v>
      </c>
      <c r="O101" s="198">
        <f>+M101*N101</f>
        <v>14</v>
      </c>
      <c r="P101" s="198">
        <f t="shared" si="8"/>
        <v>14</v>
      </c>
      <c r="Q101" s="178"/>
      <c r="R101" s="60"/>
    </row>
    <row r="102" spans="1:18" ht="12" outlineLevel="2">
      <c r="A102" s="272" t="s">
        <v>138</v>
      </c>
      <c r="B102" s="13" t="s">
        <v>328</v>
      </c>
      <c r="C102" s="13"/>
      <c r="D102" s="13"/>
      <c r="E102" s="6" t="s">
        <v>184</v>
      </c>
      <c r="F102" s="363">
        <v>0.65</v>
      </c>
      <c r="G102" s="202">
        <f>Machinery!U$5+Machinery!U$9</f>
        <v>20.65756</v>
      </c>
      <c r="H102" s="198">
        <f>G102*F102</f>
        <v>13.427414</v>
      </c>
      <c r="I102" s="33"/>
      <c r="J102"/>
      <c r="K102" s="5"/>
      <c r="L102"/>
      <c r="M102" s="202">
        <f>+F102*1.2</f>
        <v>0.78</v>
      </c>
      <c r="N102" s="337">
        <f>Assumptions!G$29</f>
        <v>10.6</v>
      </c>
      <c r="O102" s="198">
        <f>+N102*M102</f>
        <v>8.268</v>
      </c>
      <c r="P102" s="198">
        <f t="shared" si="8"/>
        <v>21.695414</v>
      </c>
      <c r="Q102" s="178"/>
      <c r="R102" s="60"/>
    </row>
    <row r="103" spans="1:18" ht="12" outlineLevel="2">
      <c r="A103" s="272"/>
      <c r="B103" s="13"/>
      <c r="C103" s="366" t="s">
        <v>353</v>
      </c>
      <c r="D103" s="366"/>
      <c r="E103" s="6" t="s">
        <v>2</v>
      </c>
      <c r="F103" s="268"/>
      <c r="G103" s="202"/>
      <c r="H103" s="198"/>
      <c r="I103" s="367">
        <v>1.59</v>
      </c>
      <c r="J103" s="370" t="s">
        <v>35</v>
      </c>
      <c r="K103" s="369">
        <v>48</v>
      </c>
      <c r="L103" s="198">
        <f>+K103*I103</f>
        <v>76.32000000000001</v>
      </c>
      <c r="M103" s="268">
        <v>0</v>
      </c>
      <c r="N103" s="337">
        <f>Assumptions!G$29</f>
        <v>10.6</v>
      </c>
      <c r="O103" s="198">
        <f>+N103*M103</f>
        <v>0</v>
      </c>
      <c r="P103" s="198">
        <f t="shared" si="8"/>
        <v>76.32000000000001</v>
      </c>
      <c r="Q103" s="178"/>
      <c r="R103" s="60"/>
    </row>
    <row r="104" spans="1:18" ht="12" outlineLevel="2">
      <c r="A104" s="13" t="s">
        <v>138</v>
      </c>
      <c r="B104" s="13" t="s">
        <v>216</v>
      </c>
      <c r="C104" s="13"/>
      <c r="D104" s="13"/>
      <c r="E104" s="201" t="s">
        <v>250</v>
      </c>
      <c r="F104" s="363">
        <v>10</v>
      </c>
      <c r="G104" s="268">
        <f>Machinery!V19</f>
        <v>12.928999999999998</v>
      </c>
      <c r="H104" s="198">
        <f>G104*F104</f>
        <v>129.29</v>
      </c>
      <c r="I104" s="198"/>
      <c r="J104" s="200"/>
      <c r="K104" s="201"/>
      <c r="L104" s="198"/>
      <c r="M104" s="363">
        <v>5</v>
      </c>
      <c r="N104" s="337">
        <f>Assumptions!G28</f>
        <v>14</v>
      </c>
      <c r="O104" s="198">
        <f>+N104*M104</f>
        <v>70</v>
      </c>
      <c r="P104" s="198">
        <f t="shared" si="8"/>
        <v>199.29</v>
      </c>
      <c r="Q104" s="178"/>
      <c r="R104" s="60"/>
    </row>
    <row r="105" spans="1:18" ht="12" outlineLevel="2">
      <c r="A105" s="13" t="s">
        <v>138</v>
      </c>
      <c r="B105" s="13" t="s">
        <v>170</v>
      </c>
      <c r="C105" s="13"/>
      <c r="D105" s="13"/>
      <c r="E105" s="201" t="s">
        <v>249</v>
      </c>
      <c r="F105" s="363">
        <v>2</v>
      </c>
      <c r="G105" s="202">
        <f>Machinery!U18+Machinery!V20</f>
        <v>7.6348</v>
      </c>
      <c r="H105" s="198">
        <f>G105*F105</f>
        <v>15.2696</v>
      </c>
      <c r="I105" s="203"/>
      <c r="J105" s="200" t="s">
        <v>2</v>
      </c>
      <c r="K105" s="201"/>
      <c r="L105" s="203"/>
      <c r="M105" s="363">
        <v>1</v>
      </c>
      <c r="N105" s="337">
        <f>Assumptions!G28</f>
        <v>14</v>
      </c>
      <c r="O105" s="198">
        <f>+N105*M105</f>
        <v>14</v>
      </c>
      <c r="P105" s="198">
        <f t="shared" si="8"/>
        <v>29.2696</v>
      </c>
      <c r="Q105" s="178"/>
      <c r="R105" s="60"/>
    </row>
    <row r="106" spans="1:18" ht="12" outlineLevel="2">
      <c r="A106" s="13"/>
      <c r="B106" s="13"/>
      <c r="C106" s="366" t="s">
        <v>361</v>
      </c>
      <c r="D106" s="366"/>
      <c r="E106" s="201" t="s">
        <v>2</v>
      </c>
      <c r="F106" s="202"/>
      <c r="G106" s="202"/>
      <c r="H106" s="198"/>
      <c r="I106" s="367">
        <v>1.02</v>
      </c>
      <c r="J106" s="370" t="s">
        <v>26</v>
      </c>
      <c r="K106" s="369">
        <v>8</v>
      </c>
      <c r="L106" s="203">
        <f>+K106*I106</f>
        <v>8.16</v>
      </c>
      <c r="M106" s="202"/>
      <c r="N106" s="198"/>
      <c r="O106" s="198"/>
      <c r="P106" s="198">
        <f t="shared" si="8"/>
        <v>8.16</v>
      </c>
      <c r="Q106" s="178"/>
      <c r="R106" s="60"/>
    </row>
    <row r="107" spans="1:18" ht="12" outlineLevel="2">
      <c r="A107" s="13"/>
      <c r="B107" s="13"/>
      <c r="C107" s="366" t="s">
        <v>345</v>
      </c>
      <c r="D107" s="366"/>
      <c r="E107" s="201"/>
      <c r="F107" s="202"/>
      <c r="G107" s="202"/>
      <c r="H107" s="198"/>
      <c r="I107" s="367">
        <v>0.68</v>
      </c>
      <c r="J107" s="370" t="s">
        <v>26</v>
      </c>
      <c r="K107" s="369">
        <v>20</v>
      </c>
      <c r="L107" s="203">
        <f>+K107*I107</f>
        <v>13.600000000000001</v>
      </c>
      <c r="M107" s="202"/>
      <c r="N107" s="198"/>
      <c r="O107" s="198"/>
      <c r="P107" s="198">
        <f t="shared" si="8"/>
        <v>13.600000000000001</v>
      </c>
      <c r="Q107" s="178"/>
      <c r="R107" s="60"/>
    </row>
    <row r="108" spans="1:18" ht="12" outlineLevel="2">
      <c r="A108" s="13" t="s">
        <v>144</v>
      </c>
      <c r="B108" s="13" t="s">
        <v>151</v>
      </c>
      <c r="C108" s="13"/>
      <c r="D108" s="13"/>
      <c r="E108" s="201" t="s">
        <v>137</v>
      </c>
      <c r="F108" s="202"/>
      <c r="G108" s="202"/>
      <c r="H108" s="198"/>
      <c r="I108" s="367">
        <v>7</v>
      </c>
      <c r="J108" s="370" t="s">
        <v>152</v>
      </c>
      <c r="K108" s="369">
        <v>1</v>
      </c>
      <c r="L108" s="198">
        <f>+K108*I108</f>
        <v>7</v>
      </c>
      <c r="M108" s="363">
        <v>0.5</v>
      </c>
      <c r="N108" s="337">
        <f>Assumptions!G29</f>
        <v>10.6</v>
      </c>
      <c r="O108" s="198">
        <f>+N108*M108</f>
        <v>5.3</v>
      </c>
      <c r="P108" s="198">
        <f t="shared" si="8"/>
        <v>12.3</v>
      </c>
      <c r="Q108" s="178"/>
      <c r="R108" s="60"/>
    </row>
    <row r="109" spans="1:18" ht="12" outlineLevel="2">
      <c r="A109" s="13" t="s">
        <v>144</v>
      </c>
      <c r="B109" s="13" t="s">
        <v>216</v>
      </c>
      <c r="C109" s="13"/>
      <c r="D109" s="13"/>
      <c r="E109" s="201" t="s">
        <v>250</v>
      </c>
      <c r="F109" s="363">
        <v>10</v>
      </c>
      <c r="G109" s="268">
        <f>Machinery!V19</f>
        <v>12.928999999999998</v>
      </c>
      <c r="H109" s="198">
        <f>G109*F109</f>
        <v>129.29</v>
      </c>
      <c r="I109" s="198"/>
      <c r="J109" s="200"/>
      <c r="K109" s="201"/>
      <c r="L109" s="198"/>
      <c r="M109" s="363">
        <v>5</v>
      </c>
      <c r="N109" s="337">
        <f>Assumptions!G28</f>
        <v>14</v>
      </c>
      <c r="O109" s="198">
        <f>+N109*M109</f>
        <v>70</v>
      </c>
      <c r="P109" s="198">
        <f t="shared" si="8"/>
        <v>199.29</v>
      </c>
      <c r="Q109" s="178"/>
      <c r="R109" s="60"/>
    </row>
    <row r="110" spans="1:18" ht="12" outlineLevel="2">
      <c r="A110" s="13" t="s">
        <v>144</v>
      </c>
      <c r="B110" s="13" t="s">
        <v>171</v>
      </c>
      <c r="C110" s="13"/>
      <c r="D110" s="13"/>
      <c r="E110" s="201" t="s">
        <v>137</v>
      </c>
      <c r="F110" s="202"/>
      <c r="G110" s="202"/>
      <c r="H110" s="198"/>
      <c r="I110" s="198"/>
      <c r="J110" s="200"/>
      <c r="K110" s="201"/>
      <c r="L110" s="198"/>
      <c r="M110" s="363">
        <v>6</v>
      </c>
      <c r="N110" s="337">
        <f>Assumptions!G29</f>
        <v>10.6</v>
      </c>
      <c r="O110" s="198">
        <f>+N110*M110</f>
        <v>63.599999999999994</v>
      </c>
      <c r="P110" s="198">
        <f t="shared" si="8"/>
        <v>63.599999999999994</v>
      </c>
      <c r="Q110" s="178"/>
      <c r="R110" s="160"/>
    </row>
    <row r="111" spans="1:18" ht="12" outlineLevel="2">
      <c r="A111" s="13" t="s">
        <v>144</v>
      </c>
      <c r="B111" s="13" t="s">
        <v>158</v>
      </c>
      <c r="C111" s="13"/>
      <c r="D111" s="13"/>
      <c r="E111" s="201" t="s">
        <v>137</v>
      </c>
      <c r="F111" s="202"/>
      <c r="G111" s="202"/>
      <c r="H111" s="198"/>
      <c r="I111" s="198"/>
      <c r="J111" s="200"/>
      <c r="K111" s="201"/>
      <c r="L111" s="198"/>
      <c r="M111" s="363">
        <v>6</v>
      </c>
      <c r="N111" s="337">
        <f>Assumptions!G29</f>
        <v>10.6</v>
      </c>
      <c r="O111" s="198">
        <f>+N111*M111</f>
        <v>63.599999999999994</v>
      </c>
      <c r="P111" s="198">
        <f t="shared" si="8"/>
        <v>63.599999999999994</v>
      </c>
      <c r="Q111" s="178"/>
      <c r="R111" s="60"/>
    </row>
    <row r="112" spans="1:18" ht="12" outlineLevel="2">
      <c r="A112" s="13" t="s">
        <v>144</v>
      </c>
      <c r="B112" s="13" t="s">
        <v>348</v>
      </c>
      <c r="C112" s="13"/>
      <c r="D112" s="13"/>
      <c r="E112" s="6" t="s">
        <v>349</v>
      </c>
      <c r="F112" s="363">
        <v>2</v>
      </c>
      <c r="G112" s="202">
        <f>Machinery!U17</f>
        <v>1.16</v>
      </c>
      <c r="H112" s="198">
        <f>G112*F112</f>
        <v>2.32</v>
      </c>
      <c r="I112" s="33"/>
      <c r="J112"/>
      <c r="K112" s="5"/>
      <c r="L112"/>
      <c r="M112" s="202">
        <f>+F112*1.2</f>
        <v>2.4</v>
      </c>
      <c r="N112" s="337">
        <f>Assumptions!G29</f>
        <v>10.6</v>
      </c>
      <c r="O112" s="198">
        <f>+N112*M112</f>
        <v>25.439999999999998</v>
      </c>
      <c r="P112" s="198">
        <f>O112+L112+H112</f>
        <v>27.759999999999998</v>
      </c>
      <c r="Q112" s="178"/>
      <c r="R112" s="60"/>
    </row>
    <row r="113" spans="1:18" ht="12" outlineLevel="2">
      <c r="A113" s="13" t="s">
        <v>144</v>
      </c>
      <c r="B113" s="13" t="s">
        <v>206</v>
      </c>
      <c r="C113" s="13"/>
      <c r="D113" s="13"/>
      <c r="E113" s="201" t="s">
        <v>172</v>
      </c>
      <c r="F113" s="202"/>
      <c r="G113" s="202"/>
      <c r="H113" s="198"/>
      <c r="I113" s="367">
        <v>35</v>
      </c>
      <c r="J113" s="370" t="s">
        <v>173</v>
      </c>
      <c r="K113" s="369">
        <v>1</v>
      </c>
      <c r="L113" s="198">
        <f>+K113*I113</f>
        <v>35</v>
      </c>
      <c r="M113" s="202"/>
      <c r="N113" s="198"/>
      <c r="O113" s="198"/>
      <c r="P113" s="198">
        <f t="shared" si="8"/>
        <v>35</v>
      </c>
      <c r="Q113" s="178"/>
      <c r="R113" s="60"/>
    </row>
    <row r="114" spans="1:18" ht="12" outlineLevel="2">
      <c r="A114" s="13" t="s">
        <v>144</v>
      </c>
      <c r="B114" s="13" t="s">
        <v>170</v>
      </c>
      <c r="C114" s="13"/>
      <c r="D114" s="13"/>
      <c r="E114" s="201" t="s">
        <v>249</v>
      </c>
      <c r="F114" s="363">
        <v>2</v>
      </c>
      <c r="G114" s="268">
        <f>Machinery!U18+Machinery!V20</f>
        <v>7.6348</v>
      </c>
      <c r="H114" s="198">
        <f>G114*F114</f>
        <v>15.2696</v>
      </c>
      <c r="I114" s="203"/>
      <c r="J114" s="200" t="s">
        <v>2</v>
      </c>
      <c r="K114" s="201"/>
      <c r="L114" s="203"/>
      <c r="M114" s="363">
        <v>1</v>
      </c>
      <c r="N114" s="337">
        <f>Assumptions!G28</f>
        <v>14</v>
      </c>
      <c r="O114" s="198">
        <f>+N114*M114</f>
        <v>14</v>
      </c>
      <c r="P114" s="198">
        <f t="shared" si="8"/>
        <v>29.2696</v>
      </c>
      <c r="Q114" s="178"/>
      <c r="R114" s="60"/>
    </row>
    <row r="115" spans="1:18" ht="12" outlineLevel="2">
      <c r="A115" s="13"/>
      <c r="B115" s="13"/>
      <c r="C115" s="366" t="s">
        <v>361</v>
      </c>
      <c r="D115" s="366"/>
      <c r="E115" s="201" t="s">
        <v>2</v>
      </c>
      <c r="F115" s="202"/>
      <c r="G115" s="202"/>
      <c r="H115" s="198"/>
      <c r="I115" s="367">
        <v>1.02</v>
      </c>
      <c r="J115" s="370" t="s">
        <v>26</v>
      </c>
      <c r="K115" s="369">
        <v>8</v>
      </c>
      <c r="L115" s="203">
        <f>+K115*I115</f>
        <v>8.16</v>
      </c>
      <c r="M115" s="202"/>
      <c r="N115" s="198"/>
      <c r="O115" s="198"/>
      <c r="P115" s="198">
        <f t="shared" si="8"/>
        <v>8.16</v>
      </c>
      <c r="Q115" s="178"/>
      <c r="R115" s="60"/>
    </row>
    <row r="116" spans="1:18" ht="12" outlineLevel="2">
      <c r="A116" s="13"/>
      <c r="B116" s="13"/>
      <c r="C116" s="366" t="s">
        <v>345</v>
      </c>
      <c r="D116" s="366"/>
      <c r="E116" s="201"/>
      <c r="F116" s="202"/>
      <c r="G116" s="202"/>
      <c r="H116" s="198"/>
      <c r="I116" s="367">
        <v>0.68</v>
      </c>
      <c r="J116" s="370" t="s">
        <v>26</v>
      </c>
      <c r="K116" s="369">
        <v>20</v>
      </c>
      <c r="L116" s="203">
        <f>+K116*I116</f>
        <v>13.600000000000001</v>
      </c>
      <c r="M116" s="202"/>
      <c r="N116" s="198"/>
      <c r="O116" s="198"/>
      <c r="P116" s="198">
        <f t="shared" si="8"/>
        <v>13.600000000000001</v>
      </c>
      <c r="Q116" s="178"/>
      <c r="R116" s="60"/>
    </row>
    <row r="117" spans="1:18" ht="12" outlineLevel="2">
      <c r="A117" s="13" t="s">
        <v>147</v>
      </c>
      <c r="B117" s="272" t="s">
        <v>217</v>
      </c>
      <c r="C117" s="13"/>
      <c r="D117" s="13"/>
      <c r="E117" s="201"/>
      <c r="F117" s="202"/>
      <c r="G117" s="202"/>
      <c r="H117" s="198"/>
      <c r="I117" s="198"/>
      <c r="J117" s="200"/>
      <c r="K117" s="201"/>
      <c r="L117" s="198"/>
      <c r="M117" s="363">
        <v>1</v>
      </c>
      <c r="N117" s="337">
        <f>Assumptions!G28</f>
        <v>14</v>
      </c>
      <c r="O117" s="198">
        <f>+M117*N117</f>
        <v>14</v>
      </c>
      <c r="P117" s="198">
        <f t="shared" si="8"/>
        <v>14</v>
      </c>
      <c r="Q117" s="178"/>
      <c r="R117" s="60"/>
    </row>
    <row r="118" spans="1:18" ht="12" outlineLevel="2">
      <c r="A118" s="272" t="s">
        <v>147</v>
      </c>
      <c r="B118" s="13" t="s">
        <v>355</v>
      </c>
      <c r="C118" s="13"/>
      <c r="D118" s="13"/>
      <c r="E118" s="6" t="s">
        <v>137</v>
      </c>
      <c r="F118" s="268"/>
      <c r="G118" s="202"/>
      <c r="H118" s="198"/>
      <c r="I118" s="198"/>
      <c r="J118" s="200"/>
      <c r="K118" s="201"/>
      <c r="L118" s="198"/>
      <c r="M118" s="363">
        <v>2</v>
      </c>
      <c r="N118" s="337">
        <f>Assumptions!G$29</f>
        <v>10.6</v>
      </c>
      <c r="O118" s="198">
        <f>+N118*M118</f>
        <v>21.2</v>
      </c>
      <c r="P118" s="198">
        <f t="shared" si="8"/>
        <v>21.2</v>
      </c>
      <c r="Q118" s="178"/>
      <c r="R118" s="60"/>
    </row>
    <row r="119" spans="1:18" ht="12" outlineLevel="2">
      <c r="A119" s="272"/>
      <c r="B119" s="13"/>
      <c r="C119" s="366" t="s">
        <v>354</v>
      </c>
      <c r="D119" s="366"/>
      <c r="E119" s="6"/>
      <c r="F119" s="268"/>
      <c r="G119" s="202"/>
      <c r="H119" s="198"/>
      <c r="I119" s="367">
        <v>20</v>
      </c>
      <c r="J119" s="370" t="s">
        <v>26</v>
      </c>
      <c r="K119" s="369">
        <v>2</v>
      </c>
      <c r="L119" s="198">
        <f>+K119*I119</f>
        <v>40</v>
      </c>
      <c r="M119" s="268">
        <v>0</v>
      </c>
      <c r="N119" s="337">
        <f>Assumptions!G$29</f>
        <v>10.6</v>
      </c>
      <c r="O119" s="198">
        <f>+N119*M119</f>
        <v>0</v>
      </c>
      <c r="P119" s="198">
        <f t="shared" si="8"/>
        <v>40</v>
      </c>
      <c r="Q119" s="178"/>
      <c r="R119" s="60"/>
    </row>
    <row r="120" spans="1:18" ht="12" outlineLevel="2">
      <c r="A120" s="13" t="s">
        <v>147</v>
      </c>
      <c r="B120" s="13" t="s">
        <v>170</v>
      </c>
      <c r="C120" s="13"/>
      <c r="D120" s="13"/>
      <c r="E120" s="201" t="s">
        <v>249</v>
      </c>
      <c r="F120" s="363">
        <v>2</v>
      </c>
      <c r="G120" s="268">
        <f>Machinery!U18+Machinery!V20</f>
        <v>7.6348</v>
      </c>
      <c r="H120" s="198">
        <f>G120*F120</f>
        <v>15.2696</v>
      </c>
      <c r="I120" s="203"/>
      <c r="J120" s="200" t="s">
        <v>2</v>
      </c>
      <c r="K120" s="201"/>
      <c r="L120" s="203"/>
      <c r="M120" s="363">
        <v>1</v>
      </c>
      <c r="N120" s="337">
        <f>Assumptions!G28</f>
        <v>14</v>
      </c>
      <c r="O120" s="198">
        <f>+N120*M120</f>
        <v>14</v>
      </c>
      <c r="P120" s="198">
        <f t="shared" si="8"/>
        <v>29.2696</v>
      </c>
      <c r="Q120" s="178"/>
      <c r="R120" s="60"/>
    </row>
    <row r="121" spans="1:18" ht="12" outlineLevel="2">
      <c r="A121" s="13"/>
      <c r="B121" s="13"/>
      <c r="C121" s="366" t="s">
        <v>361</v>
      </c>
      <c r="D121" s="366"/>
      <c r="E121" s="201" t="s">
        <v>2</v>
      </c>
      <c r="F121" s="202"/>
      <c r="G121" s="202"/>
      <c r="H121" s="198"/>
      <c r="I121" s="367">
        <v>1.02</v>
      </c>
      <c r="J121" s="370" t="s">
        <v>26</v>
      </c>
      <c r="K121" s="369">
        <v>8</v>
      </c>
      <c r="L121" s="203">
        <f>+K121*I121</f>
        <v>8.16</v>
      </c>
      <c r="M121" s="202"/>
      <c r="N121" s="198"/>
      <c r="O121" s="198"/>
      <c r="P121" s="198">
        <f t="shared" si="8"/>
        <v>8.16</v>
      </c>
      <c r="Q121" s="178"/>
      <c r="R121" s="60"/>
    </row>
    <row r="122" spans="1:18" ht="12" outlineLevel="2">
      <c r="A122" s="13"/>
      <c r="B122" s="13"/>
      <c r="C122" s="366" t="s">
        <v>345</v>
      </c>
      <c r="D122" s="366"/>
      <c r="E122" s="201"/>
      <c r="F122" s="202"/>
      <c r="G122" s="202"/>
      <c r="H122" s="198"/>
      <c r="I122" s="367">
        <v>0.68</v>
      </c>
      <c r="J122" s="370" t="s">
        <v>26</v>
      </c>
      <c r="K122" s="369">
        <v>20</v>
      </c>
      <c r="L122" s="203">
        <f>+K122*I122</f>
        <v>13.600000000000001</v>
      </c>
      <c r="M122" s="202"/>
      <c r="N122" s="198"/>
      <c r="O122" s="198"/>
      <c r="P122" s="198">
        <f t="shared" si="8"/>
        <v>13.600000000000001</v>
      </c>
      <c r="Q122" s="178"/>
      <c r="R122" s="60"/>
    </row>
    <row r="123" spans="1:144" s="177" customFormat="1" ht="12" outlineLevel="1">
      <c r="A123" s="227" t="s">
        <v>174</v>
      </c>
      <c r="B123" s="227"/>
      <c r="C123" s="227"/>
      <c r="D123" s="227"/>
      <c r="E123" s="228"/>
      <c r="F123" s="229"/>
      <c r="G123" s="229"/>
      <c r="H123" s="230">
        <f>SUM(H93:H122)</f>
        <v>337.725814</v>
      </c>
      <c r="I123" s="244"/>
      <c r="J123" s="231"/>
      <c r="K123" s="228"/>
      <c r="L123" s="230">
        <f>SUM(L93:L122)</f>
        <v>252.35999999999999</v>
      </c>
      <c r="M123" s="260">
        <f>SUM(M93:M122)</f>
        <v>58.58</v>
      </c>
      <c r="N123" s="230"/>
      <c r="O123" s="230">
        <f>SUM(O93:O122)</f>
        <v>675.348</v>
      </c>
      <c r="P123" s="230">
        <f>SUM(P93:P122)</f>
        <v>1265.433814</v>
      </c>
      <c r="Q123" s="230">
        <f>Q91+P123</f>
        <v>11911.327453666667</v>
      </c>
      <c r="R123" s="60"/>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row>
    <row r="124" spans="1:18" ht="12" outlineLevel="1">
      <c r="A124" s="153" t="s">
        <v>25</v>
      </c>
      <c r="B124" s="13"/>
      <c r="C124" s="13"/>
      <c r="D124" s="13"/>
      <c r="E124" s="201"/>
      <c r="F124" s="202"/>
      <c r="G124" s="202"/>
      <c r="H124" s="198" t="s">
        <v>2</v>
      </c>
      <c r="I124" s="198"/>
      <c r="J124" s="200"/>
      <c r="K124" s="201"/>
      <c r="L124" s="198"/>
      <c r="M124" s="202"/>
      <c r="N124" s="198"/>
      <c r="O124" s="198"/>
      <c r="P124" s="198"/>
      <c r="Q124" s="178"/>
      <c r="R124" s="60"/>
    </row>
    <row r="125" spans="1:18" ht="12" outlineLevel="2">
      <c r="A125" s="13" t="s">
        <v>142</v>
      </c>
      <c r="B125" s="13" t="s">
        <v>216</v>
      </c>
      <c r="C125" s="13"/>
      <c r="D125" s="13"/>
      <c r="E125" s="201" t="s">
        <v>250</v>
      </c>
      <c r="F125" s="363">
        <v>8</v>
      </c>
      <c r="G125" s="268">
        <f>Machinery!V19</f>
        <v>12.928999999999998</v>
      </c>
      <c r="H125" s="198">
        <f>G125*F125</f>
        <v>103.43199999999999</v>
      </c>
      <c r="I125" s="198"/>
      <c r="J125" s="200"/>
      <c r="K125" s="201"/>
      <c r="L125" s="198"/>
      <c r="M125" s="363">
        <v>4</v>
      </c>
      <c r="N125" s="337">
        <f>Assumptions!G28</f>
        <v>14</v>
      </c>
      <c r="O125" s="198">
        <f>+N125*M125</f>
        <v>56</v>
      </c>
      <c r="P125" s="198">
        <f aca="true" t="shared" si="9" ref="P125:P141">O125+L125+H125</f>
        <v>159.432</v>
      </c>
      <c r="Q125" s="178"/>
      <c r="R125" s="60"/>
    </row>
    <row r="126" spans="1:18" ht="12" outlineLevel="2">
      <c r="A126" s="13" t="s">
        <v>142</v>
      </c>
      <c r="B126" s="13" t="s">
        <v>348</v>
      </c>
      <c r="C126" s="13"/>
      <c r="D126" s="13"/>
      <c r="E126" s="6" t="s">
        <v>349</v>
      </c>
      <c r="F126" s="363">
        <v>2</v>
      </c>
      <c r="G126" s="202">
        <f>Machinery!U17</f>
        <v>1.16</v>
      </c>
      <c r="H126" s="198">
        <f>G126*F126</f>
        <v>2.32</v>
      </c>
      <c r="I126" s="33"/>
      <c r="J126"/>
      <c r="K126" s="5"/>
      <c r="L126"/>
      <c r="M126" s="202">
        <f>+F126*1.2</f>
        <v>2.4</v>
      </c>
      <c r="N126" s="337">
        <f>Assumptions!G29</f>
        <v>10.6</v>
      </c>
      <c r="O126" s="198">
        <f>+N126*M126</f>
        <v>25.439999999999998</v>
      </c>
      <c r="P126" s="198">
        <f t="shared" si="9"/>
        <v>27.759999999999998</v>
      </c>
      <c r="Q126" s="178"/>
      <c r="R126" s="60"/>
    </row>
    <row r="127" spans="1:18" ht="12" outlineLevel="2">
      <c r="A127" s="13" t="s">
        <v>142</v>
      </c>
      <c r="B127" s="13" t="s">
        <v>170</v>
      </c>
      <c r="C127" s="13"/>
      <c r="D127" s="13"/>
      <c r="E127" s="201" t="s">
        <v>249</v>
      </c>
      <c r="F127" s="363">
        <v>2</v>
      </c>
      <c r="G127" s="202">
        <f>Machinery!U18+Machinery!V20</f>
        <v>7.6348</v>
      </c>
      <c r="H127" s="198">
        <f>G127*F127</f>
        <v>15.2696</v>
      </c>
      <c r="I127" s="203"/>
      <c r="J127" s="200" t="s">
        <v>2</v>
      </c>
      <c r="K127" s="201"/>
      <c r="L127" s="203"/>
      <c r="M127" s="363">
        <v>1</v>
      </c>
      <c r="N127" s="337">
        <f>Assumptions!G28</f>
        <v>14</v>
      </c>
      <c r="O127" s="198">
        <f>+N127*M127</f>
        <v>14</v>
      </c>
      <c r="P127" s="198">
        <f t="shared" si="9"/>
        <v>29.2696</v>
      </c>
      <c r="Q127" s="178"/>
      <c r="R127" s="60"/>
    </row>
    <row r="128" spans="1:18" ht="12" outlineLevel="2">
      <c r="A128" s="13"/>
      <c r="B128" s="13"/>
      <c r="C128" s="366" t="s">
        <v>361</v>
      </c>
      <c r="D128" s="366"/>
      <c r="E128" s="201" t="s">
        <v>2</v>
      </c>
      <c r="F128" s="202"/>
      <c r="G128" s="202"/>
      <c r="H128" s="198"/>
      <c r="I128" s="367">
        <v>1.02</v>
      </c>
      <c r="J128" s="370" t="s">
        <v>26</v>
      </c>
      <c r="K128" s="369">
        <v>8</v>
      </c>
      <c r="L128" s="203">
        <f>+K128*I128</f>
        <v>8.16</v>
      </c>
      <c r="M128" s="202"/>
      <c r="N128" s="198"/>
      <c r="O128" s="198"/>
      <c r="P128" s="198">
        <f t="shared" si="9"/>
        <v>8.16</v>
      </c>
      <c r="Q128" s="178"/>
      <c r="R128" s="60"/>
    </row>
    <row r="129" spans="1:18" ht="12" outlineLevel="2">
      <c r="A129" s="13"/>
      <c r="B129" s="13"/>
      <c r="C129" s="366" t="s">
        <v>345</v>
      </c>
      <c r="D129" s="366"/>
      <c r="E129" s="201"/>
      <c r="F129" s="202"/>
      <c r="G129" s="202"/>
      <c r="H129" s="198"/>
      <c r="I129" s="367">
        <v>0.68</v>
      </c>
      <c r="J129" s="370" t="s">
        <v>26</v>
      </c>
      <c r="K129" s="369">
        <v>20</v>
      </c>
      <c r="L129" s="203">
        <f>+K129*I129</f>
        <v>13.600000000000001</v>
      </c>
      <c r="M129" s="202"/>
      <c r="N129" s="198"/>
      <c r="O129" s="198"/>
      <c r="P129" s="198">
        <f t="shared" si="9"/>
        <v>13.600000000000001</v>
      </c>
      <c r="Q129" s="178"/>
      <c r="R129" s="60"/>
    </row>
    <row r="130" spans="1:18" ht="12" outlineLevel="2">
      <c r="A130" s="13" t="s">
        <v>138</v>
      </c>
      <c r="B130" s="13" t="s">
        <v>151</v>
      </c>
      <c r="C130" s="13"/>
      <c r="D130" s="13"/>
      <c r="E130" s="201" t="s">
        <v>137</v>
      </c>
      <c r="F130" s="202"/>
      <c r="G130" s="202"/>
      <c r="H130" s="198"/>
      <c r="I130" s="367">
        <v>7</v>
      </c>
      <c r="J130" s="370" t="s">
        <v>152</v>
      </c>
      <c r="K130" s="369">
        <v>1</v>
      </c>
      <c r="L130" s="198">
        <f>+K130*I130</f>
        <v>7</v>
      </c>
      <c r="M130" s="363">
        <v>0.5</v>
      </c>
      <c r="N130" s="337">
        <f>Assumptions!G29</f>
        <v>10.6</v>
      </c>
      <c r="O130" s="198">
        <f aca="true" t="shared" si="10" ref="O130:O136">+N130*M130</f>
        <v>5.3</v>
      </c>
      <c r="P130" s="198">
        <f t="shared" si="9"/>
        <v>12.3</v>
      </c>
      <c r="Q130" s="178"/>
      <c r="R130" s="60"/>
    </row>
    <row r="131" spans="1:18" ht="12" outlineLevel="2">
      <c r="A131" s="13" t="s">
        <v>138</v>
      </c>
      <c r="B131" s="13" t="s">
        <v>216</v>
      </c>
      <c r="C131" s="13"/>
      <c r="D131" s="13"/>
      <c r="E131" s="201" t="s">
        <v>250</v>
      </c>
      <c r="F131" s="363">
        <v>6</v>
      </c>
      <c r="G131" s="268">
        <f>Machinery!V19</f>
        <v>12.928999999999998</v>
      </c>
      <c r="H131" s="198">
        <f>G131*F131</f>
        <v>77.57399999999998</v>
      </c>
      <c r="I131" s="198"/>
      <c r="J131" s="200"/>
      <c r="K131" s="201"/>
      <c r="L131" s="198"/>
      <c r="M131" s="363">
        <v>3</v>
      </c>
      <c r="N131" s="337">
        <f>Assumptions!G28</f>
        <v>14</v>
      </c>
      <c r="O131" s="198">
        <f t="shared" si="10"/>
        <v>42</v>
      </c>
      <c r="P131" s="198">
        <f t="shared" si="9"/>
        <v>119.57399999999998</v>
      </c>
      <c r="Q131" s="178"/>
      <c r="R131" s="60"/>
    </row>
    <row r="132" spans="1:18" ht="12" outlineLevel="2">
      <c r="A132" s="272" t="s">
        <v>138</v>
      </c>
      <c r="B132" s="13" t="s">
        <v>328</v>
      </c>
      <c r="C132" s="13"/>
      <c r="D132" s="13"/>
      <c r="E132" s="6" t="s">
        <v>184</v>
      </c>
      <c r="F132" s="363">
        <v>0.65</v>
      </c>
      <c r="G132" s="202">
        <f>Machinery!U$5+Machinery!U$9</f>
        <v>20.65756</v>
      </c>
      <c r="H132" s="198">
        <f>G132*F132</f>
        <v>13.427414</v>
      </c>
      <c r="I132" s="33"/>
      <c r="J132"/>
      <c r="K132" s="5"/>
      <c r="L132"/>
      <c r="M132" s="202">
        <f>+F132*1.2</f>
        <v>0.78</v>
      </c>
      <c r="N132" s="337">
        <f>Assumptions!G$29</f>
        <v>10.6</v>
      </c>
      <c r="O132" s="198">
        <f t="shared" si="10"/>
        <v>8.268</v>
      </c>
      <c r="P132" s="198">
        <f t="shared" si="9"/>
        <v>21.695414</v>
      </c>
      <c r="Q132" s="178"/>
      <c r="R132" s="60"/>
    </row>
    <row r="133" spans="1:18" ht="12" outlineLevel="2">
      <c r="A133" s="272"/>
      <c r="B133" s="13"/>
      <c r="C133" s="366" t="s">
        <v>353</v>
      </c>
      <c r="D133" s="366"/>
      <c r="E133" s="6" t="s">
        <v>2</v>
      </c>
      <c r="F133" s="268"/>
      <c r="G133" s="202"/>
      <c r="H133" s="198"/>
      <c r="I133" s="367">
        <v>1.59</v>
      </c>
      <c r="J133" s="370" t="s">
        <v>35</v>
      </c>
      <c r="K133" s="369">
        <v>48</v>
      </c>
      <c r="L133" s="198">
        <f>+K133*I133</f>
        <v>76.32000000000001</v>
      </c>
      <c r="M133" s="268">
        <v>0</v>
      </c>
      <c r="N133" s="337">
        <f>Assumptions!G$29</f>
        <v>10.6</v>
      </c>
      <c r="O133" s="198">
        <f t="shared" si="10"/>
        <v>0</v>
      </c>
      <c r="P133" s="198">
        <f t="shared" si="9"/>
        <v>76.32000000000001</v>
      </c>
      <c r="Q133" s="178"/>
      <c r="R133" s="60"/>
    </row>
    <row r="134" spans="1:18" ht="12" outlineLevel="2">
      <c r="A134" s="272" t="s">
        <v>138</v>
      </c>
      <c r="B134" s="13" t="s">
        <v>365</v>
      </c>
      <c r="C134" s="13"/>
      <c r="D134" s="13"/>
      <c r="E134" s="6" t="s">
        <v>184</v>
      </c>
      <c r="F134" s="363">
        <v>0.65</v>
      </c>
      <c r="G134" s="202">
        <f>Machinery!U$5+Machinery!U$9</f>
        <v>20.65756</v>
      </c>
      <c r="H134" s="198">
        <f>G134*F134</f>
        <v>13.427414</v>
      </c>
      <c r="I134" s="33"/>
      <c r="J134"/>
      <c r="K134" s="5"/>
      <c r="L134"/>
      <c r="M134" s="202">
        <f>+F134*1.2</f>
        <v>0.78</v>
      </c>
      <c r="N134" s="337">
        <f>Assumptions!G$29</f>
        <v>10.6</v>
      </c>
      <c r="O134" s="198">
        <f t="shared" si="10"/>
        <v>8.268</v>
      </c>
      <c r="P134" s="198">
        <f>O134+L134+H134</f>
        <v>21.695414</v>
      </c>
      <c r="Q134" s="178"/>
      <c r="R134" s="60"/>
    </row>
    <row r="135" spans="1:18" ht="12" outlineLevel="2">
      <c r="A135" s="272"/>
      <c r="B135" s="13"/>
      <c r="C135" s="366" t="s">
        <v>366</v>
      </c>
      <c r="D135" s="366"/>
      <c r="E135" s="6" t="s">
        <v>2</v>
      </c>
      <c r="F135" s="268"/>
      <c r="G135" s="202"/>
      <c r="H135" s="198"/>
      <c r="I135" s="367">
        <v>54</v>
      </c>
      <c r="J135" s="370" t="s">
        <v>367</v>
      </c>
      <c r="K135" s="369">
        <v>1</v>
      </c>
      <c r="L135" s="198">
        <f>+K135*I135</f>
        <v>54</v>
      </c>
      <c r="M135" s="268">
        <v>0</v>
      </c>
      <c r="N135" s="337">
        <f>Assumptions!G$29</f>
        <v>10.6</v>
      </c>
      <c r="O135" s="198">
        <f t="shared" si="10"/>
        <v>0</v>
      </c>
      <c r="P135" s="198">
        <f>O135+L135+H135</f>
        <v>54</v>
      </c>
      <c r="Q135" s="178"/>
      <c r="R135" s="60"/>
    </row>
    <row r="136" spans="1:18" ht="12" outlineLevel="2">
      <c r="A136" s="13" t="s">
        <v>138</v>
      </c>
      <c r="B136" s="13" t="s">
        <v>170</v>
      </c>
      <c r="C136" s="13"/>
      <c r="D136" s="13"/>
      <c r="E136" s="201" t="s">
        <v>249</v>
      </c>
      <c r="F136" s="363">
        <v>2</v>
      </c>
      <c r="G136" s="202">
        <f>Machinery!U18+Machinery!V20</f>
        <v>7.6348</v>
      </c>
      <c r="H136" s="198">
        <f>G136*F136</f>
        <v>15.2696</v>
      </c>
      <c r="I136" s="203"/>
      <c r="J136" s="200" t="s">
        <v>2</v>
      </c>
      <c r="K136" s="201"/>
      <c r="L136" s="203"/>
      <c r="M136" s="363">
        <v>1</v>
      </c>
      <c r="N136" s="337">
        <f>Assumptions!G28</f>
        <v>14</v>
      </c>
      <c r="O136" s="198">
        <f t="shared" si="10"/>
        <v>14</v>
      </c>
      <c r="P136" s="198">
        <f t="shared" si="9"/>
        <v>29.2696</v>
      </c>
      <c r="Q136" s="178"/>
      <c r="R136" s="60"/>
    </row>
    <row r="137" spans="1:18" ht="12" outlineLevel="2">
      <c r="A137" s="13"/>
      <c r="B137" s="13"/>
      <c r="C137" s="366" t="s">
        <v>361</v>
      </c>
      <c r="D137" s="366"/>
      <c r="E137" s="201" t="s">
        <v>2</v>
      </c>
      <c r="F137" s="202"/>
      <c r="G137" s="202"/>
      <c r="H137" s="198"/>
      <c r="I137" s="367">
        <v>1.02</v>
      </c>
      <c r="J137" s="370" t="s">
        <v>26</v>
      </c>
      <c r="K137" s="369">
        <v>8</v>
      </c>
      <c r="L137" s="203">
        <f>+K137*I137</f>
        <v>8.16</v>
      </c>
      <c r="M137" s="202"/>
      <c r="N137" s="198"/>
      <c r="O137" s="198"/>
      <c r="P137" s="198">
        <f t="shared" si="9"/>
        <v>8.16</v>
      </c>
      <c r="Q137" s="178"/>
      <c r="R137" s="60"/>
    </row>
    <row r="138" spans="1:18" ht="12" outlineLevel="2">
      <c r="A138" s="13"/>
      <c r="B138" s="13"/>
      <c r="C138" s="366" t="s">
        <v>345</v>
      </c>
      <c r="D138" s="366"/>
      <c r="E138" s="201"/>
      <c r="F138" s="202"/>
      <c r="G138" s="202"/>
      <c r="H138" s="198"/>
      <c r="I138" s="367">
        <v>0.68</v>
      </c>
      <c r="J138" s="370" t="s">
        <v>26</v>
      </c>
      <c r="K138" s="369">
        <v>20</v>
      </c>
      <c r="L138" s="203">
        <f>+K138*I138</f>
        <v>13.600000000000001</v>
      </c>
      <c r="M138" s="202"/>
      <c r="N138" s="198"/>
      <c r="O138" s="198"/>
      <c r="P138" s="198">
        <f t="shared" si="9"/>
        <v>13.600000000000001</v>
      </c>
      <c r="Q138" s="178"/>
      <c r="R138" s="60"/>
    </row>
    <row r="139" spans="1:18" ht="12" outlineLevel="2">
      <c r="A139" s="13" t="s">
        <v>144</v>
      </c>
      <c r="B139" s="13" t="s">
        <v>348</v>
      </c>
      <c r="C139" s="13"/>
      <c r="D139" s="13"/>
      <c r="E139" s="6" t="s">
        <v>349</v>
      </c>
      <c r="F139" s="363">
        <v>2</v>
      </c>
      <c r="G139" s="202">
        <f>Machinery!U17</f>
        <v>1.16</v>
      </c>
      <c r="H139" s="198">
        <f>G139*F139</f>
        <v>2.32</v>
      </c>
      <c r="I139" s="33"/>
      <c r="J139"/>
      <c r="K139" s="5"/>
      <c r="L139"/>
      <c r="M139" s="202">
        <f>+F139*1.2</f>
        <v>2.4</v>
      </c>
      <c r="N139" s="337">
        <f>Assumptions!G29</f>
        <v>10.6</v>
      </c>
      <c r="O139" s="198">
        <f>+N139*M139</f>
        <v>25.439999999999998</v>
      </c>
      <c r="P139" s="198">
        <f t="shared" si="9"/>
        <v>27.759999999999998</v>
      </c>
      <c r="Q139" s="178"/>
      <c r="R139" s="60"/>
    </row>
    <row r="140" spans="1:18" ht="12" outlineLevel="2">
      <c r="A140" s="13" t="s">
        <v>144</v>
      </c>
      <c r="B140" s="13" t="s">
        <v>170</v>
      </c>
      <c r="C140" s="13"/>
      <c r="D140" s="13"/>
      <c r="E140" s="201" t="s">
        <v>249</v>
      </c>
      <c r="F140" s="363">
        <v>2</v>
      </c>
      <c r="G140" s="202">
        <f>Machinery!U18+Machinery!V20</f>
        <v>7.6348</v>
      </c>
      <c r="H140" s="198">
        <f>G140*F140</f>
        <v>15.2696</v>
      </c>
      <c r="I140" s="203"/>
      <c r="J140" s="200" t="s">
        <v>2</v>
      </c>
      <c r="K140" s="201"/>
      <c r="L140" s="203"/>
      <c r="M140" s="363">
        <v>1</v>
      </c>
      <c r="N140" s="337">
        <f>Assumptions!G28</f>
        <v>14</v>
      </c>
      <c r="O140" s="198">
        <f>+N140*M140</f>
        <v>14</v>
      </c>
      <c r="P140" s="198">
        <f t="shared" si="9"/>
        <v>29.2696</v>
      </c>
      <c r="Q140" s="178"/>
      <c r="R140" s="60"/>
    </row>
    <row r="141" spans="1:18" ht="12" outlineLevel="2">
      <c r="A141" s="13"/>
      <c r="B141" s="13"/>
      <c r="C141" s="366" t="s">
        <v>346</v>
      </c>
      <c r="D141" s="366"/>
      <c r="E141" s="201" t="s">
        <v>2</v>
      </c>
      <c r="F141" s="202"/>
      <c r="G141" s="202"/>
      <c r="H141" s="198"/>
      <c r="I141" s="367">
        <v>2.66</v>
      </c>
      <c r="J141" s="370" t="s">
        <v>26</v>
      </c>
      <c r="K141" s="369">
        <v>64</v>
      </c>
      <c r="L141" s="203">
        <f>+K141*I141</f>
        <v>170.24</v>
      </c>
      <c r="M141" s="202"/>
      <c r="N141" s="198"/>
      <c r="O141" s="198"/>
      <c r="P141" s="198">
        <f t="shared" si="9"/>
        <v>170.24</v>
      </c>
      <c r="Q141" s="178"/>
      <c r="R141" s="60"/>
    </row>
    <row r="142" spans="1:144" s="218" customFormat="1" ht="12" outlineLevel="1">
      <c r="A142" s="246" t="s">
        <v>207</v>
      </c>
      <c r="B142" s="224"/>
      <c r="C142" s="224"/>
      <c r="D142" s="224"/>
      <c r="E142" s="225"/>
      <c r="F142" s="226"/>
      <c r="G142" s="226"/>
      <c r="H142" s="238">
        <f>SUM(H80:H141)-H91-H123</f>
        <v>611.782856</v>
      </c>
      <c r="I142" s="238"/>
      <c r="J142" s="249"/>
      <c r="K142" s="250"/>
      <c r="L142" s="238">
        <f>SUM(L80:L141)-L91-L123</f>
        <v>719.76</v>
      </c>
      <c r="M142" s="274">
        <f>SUM(M80:M141)-M91-M123</f>
        <v>110.11999999999999</v>
      </c>
      <c r="N142" s="238"/>
      <c r="O142" s="238">
        <f>SUM(O80:O141)-O91-O123</f>
        <v>1264.172</v>
      </c>
      <c r="P142" s="238">
        <f>SUM(P80:P141)-P91-P123</f>
        <v>2595.714855999999</v>
      </c>
      <c r="Q142" s="238">
        <f>Q77+P142</f>
        <v>12733.433081666666</v>
      </c>
      <c r="R142" s="60"/>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69"/>
      <c r="DF142" s="169"/>
      <c r="DG142" s="169"/>
      <c r="DH142" s="169"/>
      <c r="DI142" s="169"/>
      <c r="DJ142" s="169"/>
      <c r="DK142" s="169"/>
      <c r="DL142" s="169"/>
      <c r="DM142" s="169"/>
      <c r="DN142" s="169"/>
      <c r="DO142" s="169"/>
      <c r="DP142" s="169"/>
      <c r="DQ142" s="169"/>
      <c r="DR142" s="169"/>
      <c r="DS142" s="169"/>
      <c r="DT142" s="169"/>
      <c r="DU142" s="169"/>
      <c r="DV142" s="169"/>
      <c r="DW142" s="169"/>
      <c r="DX142" s="169"/>
      <c r="DY142" s="169"/>
      <c r="DZ142" s="169"/>
      <c r="EA142" s="169"/>
      <c r="EB142" s="169"/>
      <c r="EC142" s="169"/>
      <c r="ED142" s="169"/>
      <c r="EE142" s="169"/>
      <c r="EF142" s="169"/>
      <c r="EG142" s="169"/>
      <c r="EH142" s="169"/>
      <c r="EI142" s="169"/>
      <c r="EJ142" s="169"/>
      <c r="EK142" s="169"/>
      <c r="EL142" s="169"/>
      <c r="EM142" s="169"/>
      <c r="EN142" s="169"/>
    </row>
    <row r="143" spans="1:18" ht="12" outlineLevel="1">
      <c r="A143" s="13"/>
      <c r="B143" s="13"/>
      <c r="C143" s="13"/>
      <c r="D143" s="13"/>
      <c r="E143" s="201"/>
      <c r="F143" s="202"/>
      <c r="G143" s="202"/>
      <c r="H143" s="198"/>
      <c r="I143" s="203"/>
      <c r="J143" s="200"/>
      <c r="K143" s="201"/>
      <c r="L143" s="203"/>
      <c r="M143" s="202"/>
      <c r="N143" s="198"/>
      <c r="O143" s="198"/>
      <c r="P143" s="198"/>
      <c r="Q143" s="178"/>
      <c r="R143" s="60"/>
    </row>
    <row r="144" spans="1:18" ht="12" outlineLevel="1">
      <c r="A144" s="207" t="s">
        <v>175</v>
      </c>
      <c r="B144" s="13"/>
      <c r="C144" s="13"/>
      <c r="D144" s="13"/>
      <c r="E144" s="201"/>
      <c r="F144" s="202"/>
      <c r="G144" s="202"/>
      <c r="H144" s="198"/>
      <c r="I144" s="203"/>
      <c r="J144" s="200"/>
      <c r="K144" s="201"/>
      <c r="L144" s="203"/>
      <c r="M144" s="202"/>
      <c r="N144" s="198"/>
      <c r="O144" s="198"/>
      <c r="P144" s="198"/>
      <c r="Q144" s="178"/>
      <c r="R144" s="60"/>
    </row>
    <row r="145" spans="1:18" ht="12" outlineLevel="2">
      <c r="A145" s="13" t="s">
        <v>144</v>
      </c>
      <c r="B145" s="13" t="s">
        <v>209</v>
      </c>
      <c r="C145" s="13"/>
      <c r="D145" s="13"/>
      <c r="E145" s="201"/>
      <c r="F145" s="202"/>
      <c r="G145" s="202"/>
      <c r="H145" s="198"/>
      <c r="I145" s="210"/>
      <c r="J145" s="200"/>
      <c r="K145" s="201"/>
      <c r="L145" s="198"/>
      <c r="M145" s="363">
        <f>30/5</f>
        <v>6</v>
      </c>
      <c r="N145" s="337">
        <f>Assumptions!G29</f>
        <v>10.6</v>
      </c>
      <c r="O145" s="198">
        <f aca="true" t="shared" si="11" ref="O145:O151">+N145*M145</f>
        <v>63.599999999999994</v>
      </c>
      <c r="P145" s="198">
        <f aca="true" t="shared" si="12" ref="P145:P159">O145+L145+H145</f>
        <v>63.599999999999994</v>
      </c>
      <c r="Q145" s="178"/>
      <c r="R145" s="60"/>
    </row>
    <row r="146" spans="1:18" ht="12" outlineLevel="2">
      <c r="A146" s="13" t="s">
        <v>144</v>
      </c>
      <c r="B146" s="13" t="s">
        <v>210</v>
      </c>
      <c r="C146" s="13"/>
      <c r="D146" s="13"/>
      <c r="E146" s="201"/>
      <c r="F146" s="202"/>
      <c r="G146" s="202"/>
      <c r="H146" s="198"/>
      <c r="I146" s="203">
        <f>Assumptions!G32</f>
        <v>0.75</v>
      </c>
      <c r="J146" s="215" t="s">
        <v>242</v>
      </c>
      <c r="K146" s="267">
        <f>Assumptions!H11/6</f>
        <v>235</v>
      </c>
      <c r="L146" s="198">
        <f>+K146*I146</f>
        <v>176.25</v>
      </c>
      <c r="M146" s="363">
        <f>30/5</f>
        <v>6</v>
      </c>
      <c r="N146" s="337">
        <f>Assumptions!G29</f>
        <v>10.6</v>
      </c>
      <c r="O146" s="198">
        <f t="shared" si="11"/>
        <v>63.599999999999994</v>
      </c>
      <c r="P146" s="198">
        <f t="shared" si="12"/>
        <v>239.85</v>
      </c>
      <c r="Q146" s="178"/>
      <c r="R146" s="60"/>
    </row>
    <row r="147" spans="1:18" ht="12" outlineLevel="2">
      <c r="A147" s="13" t="s">
        <v>144</v>
      </c>
      <c r="B147" s="13" t="s">
        <v>176</v>
      </c>
      <c r="C147" s="13"/>
      <c r="D147" s="13"/>
      <c r="E147" s="201"/>
      <c r="F147" s="202"/>
      <c r="G147" s="202"/>
      <c r="H147" s="198"/>
      <c r="I147" s="210" t="s">
        <v>2</v>
      </c>
      <c r="J147" s="200" t="s">
        <v>2</v>
      </c>
      <c r="K147" s="201" t="s">
        <v>2</v>
      </c>
      <c r="L147" s="198"/>
      <c r="M147" s="268">
        <f>K146*Assumptions!G22</f>
        <v>141</v>
      </c>
      <c r="N147" s="339">
        <f>Assumptions!G30</f>
        <v>1.15</v>
      </c>
      <c r="O147" s="198">
        <f t="shared" si="11"/>
        <v>162.14999999999998</v>
      </c>
      <c r="P147" s="198">
        <f t="shared" si="12"/>
        <v>162.14999999999998</v>
      </c>
      <c r="Q147" s="178"/>
      <c r="R147" s="60"/>
    </row>
    <row r="148" spans="1:18" ht="12" outlineLevel="2">
      <c r="A148" s="13" t="s">
        <v>147</v>
      </c>
      <c r="B148" s="13" t="s">
        <v>209</v>
      </c>
      <c r="C148" s="13"/>
      <c r="D148" s="13"/>
      <c r="E148" s="201"/>
      <c r="F148" s="202"/>
      <c r="G148" s="202"/>
      <c r="H148" s="198"/>
      <c r="I148" s="210"/>
      <c r="J148" s="200"/>
      <c r="K148" s="201"/>
      <c r="L148" s="198"/>
      <c r="M148" s="363">
        <f>40/5</f>
        <v>8</v>
      </c>
      <c r="N148" s="337">
        <f>Assumptions!G29</f>
        <v>10.6</v>
      </c>
      <c r="O148" s="198">
        <f>+N148*M148</f>
        <v>84.8</v>
      </c>
      <c r="P148" s="198">
        <f t="shared" si="12"/>
        <v>84.8</v>
      </c>
      <c r="Q148" s="178"/>
      <c r="R148" s="60"/>
    </row>
    <row r="149" spans="1:18" ht="12" outlineLevel="2">
      <c r="A149" s="13" t="s">
        <v>147</v>
      </c>
      <c r="B149" s="13" t="s">
        <v>210</v>
      </c>
      <c r="C149" s="13"/>
      <c r="D149" s="13"/>
      <c r="E149" s="201"/>
      <c r="F149" s="202"/>
      <c r="G149" s="202"/>
      <c r="H149" s="198"/>
      <c r="I149" s="203">
        <f>Assumptions!G32</f>
        <v>0.75</v>
      </c>
      <c r="J149" s="215" t="s">
        <v>242</v>
      </c>
      <c r="K149" s="267">
        <f>Assumptions!H12/6</f>
        <v>352.5</v>
      </c>
      <c r="L149" s="198">
        <f>+K149*I149</f>
        <v>264.375</v>
      </c>
      <c r="M149" s="363">
        <f>40/5</f>
        <v>8</v>
      </c>
      <c r="N149" s="337">
        <f>Assumptions!G29</f>
        <v>10.6</v>
      </c>
      <c r="O149" s="198">
        <f>+N149*M149</f>
        <v>84.8</v>
      </c>
      <c r="P149" s="198">
        <f t="shared" si="12"/>
        <v>349.175</v>
      </c>
      <c r="Q149" s="178"/>
      <c r="R149" s="60"/>
    </row>
    <row r="150" spans="1:18" ht="12" outlineLevel="2">
      <c r="A150" s="13" t="s">
        <v>147</v>
      </c>
      <c r="B150" s="13" t="s">
        <v>176</v>
      </c>
      <c r="C150" s="13"/>
      <c r="D150" s="13"/>
      <c r="E150" s="201"/>
      <c r="F150" s="202"/>
      <c r="G150" s="202"/>
      <c r="H150" s="198"/>
      <c r="I150" s="210" t="s">
        <v>2</v>
      </c>
      <c r="J150" s="200" t="s">
        <v>2</v>
      </c>
      <c r="K150" s="201" t="s">
        <v>2</v>
      </c>
      <c r="L150" s="198"/>
      <c r="M150" s="268">
        <f>K149*Assumptions!G22</f>
        <v>211.5</v>
      </c>
      <c r="N150" s="339">
        <f>Assumptions!G30</f>
        <v>1.15</v>
      </c>
      <c r="O150" s="198">
        <f>+N150*M150</f>
        <v>243.225</v>
      </c>
      <c r="P150" s="198">
        <f t="shared" si="12"/>
        <v>243.225</v>
      </c>
      <c r="Q150" s="178"/>
      <c r="R150" s="60"/>
    </row>
    <row r="151" spans="1:18" ht="12" outlineLevel="2">
      <c r="A151" s="13" t="s">
        <v>147</v>
      </c>
      <c r="B151" s="13" t="s">
        <v>177</v>
      </c>
      <c r="C151" s="13"/>
      <c r="D151" s="13"/>
      <c r="E151" s="201" t="s">
        <v>202</v>
      </c>
      <c r="F151" s="363">
        <v>2</v>
      </c>
      <c r="G151" s="202">
        <f>Machinery!V20</f>
        <v>7.206266666666667</v>
      </c>
      <c r="H151" s="198">
        <f>G151*F151</f>
        <v>14.412533333333334</v>
      </c>
      <c r="I151" s="203"/>
      <c r="J151" s="200" t="s">
        <v>2</v>
      </c>
      <c r="K151" s="201"/>
      <c r="L151" s="203"/>
      <c r="M151" s="363">
        <v>0.2</v>
      </c>
      <c r="N151" s="337">
        <f>Assumptions!G28</f>
        <v>14</v>
      </c>
      <c r="O151" s="198">
        <f t="shared" si="11"/>
        <v>2.8000000000000003</v>
      </c>
      <c r="P151" s="198">
        <f t="shared" si="12"/>
        <v>17.212533333333333</v>
      </c>
      <c r="Q151" s="178"/>
      <c r="R151" s="60"/>
    </row>
    <row r="152" spans="1:18" ht="12" outlineLevel="2">
      <c r="A152" s="272" t="s">
        <v>147</v>
      </c>
      <c r="B152" s="13" t="s">
        <v>355</v>
      </c>
      <c r="C152" s="13"/>
      <c r="D152" s="13"/>
      <c r="E152" s="6" t="s">
        <v>137</v>
      </c>
      <c r="F152" s="268"/>
      <c r="G152" s="202"/>
      <c r="H152" s="198"/>
      <c r="I152" s="198"/>
      <c r="J152" s="200"/>
      <c r="K152" s="201"/>
      <c r="L152" s="198"/>
      <c r="M152" s="363">
        <v>2</v>
      </c>
      <c r="N152" s="337">
        <f>Assumptions!G$29</f>
        <v>10.6</v>
      </c>
      <c r="O152" s="198">
        <f aca="true" t="shared" si="13" ref="O152:O158">+N152*M152</f>
        <v>21.2</v>
      </c>
      <c r="P152" s="198">
        <f t="shared" si="12"/>
        <v>21.2</v>
      </c>
      <c r="Q152" s="178"/>
      <c r="R152" s="60"/>
    </row>
    <row r="153" spans="1:18" ht="12" outlineLevel="2">
      <c r="A153" s="272"/>
      <c r="B153" s="13"/>
      <c r="C153" s="366" t="s">
        <v>354</v>
      </c>
      <c r="D153" s="366"/>
      <c r="E153" s="6"/>
      <c r="F153" s="268"/>
      <c r="G153" s="202"/>
      <c r="H153" s="198"/>
      <c r="I153" s="367">
        <v>20</v>
      </c>
      <c r="J153" s="370" t="s">
        <v>26</v>
      </c>
      <c r="K153" s="369">
        <v>2</v>
      </c>
      <c r="L153" s="198">
        <f>+K153*I153</f>
        <v>40</v>
      </c>
      <c r="M153" s="268">
        <v>0</v>
      </c>
      <c r="N153" s="337">
        <f>Assumptions!G$29</f>
        <v>10.6</v>
      </c>
      <c r="O153" s="198">
        <f t="shared" si="13"/>
        <v>0</v>
      </c>
      <c r="P153" s="198">
        <f t="shared" si="12"/>
        <v>40</v>
      </c>
      <c r="Q153" s="178"/>
      <c r="R153" s="60"/>
    </row>
    <row r="154" spans="1:18" ht="12" outlineLevel="2">
      <c r="A154" s="272" t="s">
        <v>147</v>
      </c>
      <c r="B154" s="13" t="s">
        <v>328</v>
      </c>
      <c r="C154" s="13"/>
      <c r="D154" s="13"/>
      <c r="E154" s="6" t="s">
        <v>184</v>
      </c>
      <c r="F154" s="363">
        <v>0.65</v>
      </c>
      <c r="G154" s="202">
        <f>Machinery!U$5+Machinery!U$9</f>
        <v>20.65756</v>
      </c>
      <c r="H154" s="198">
        <f>G154*F154</f>
        <v>13.427414</v>
      </c>
      <c r="I154" s="33"/>
      <c r="J154"/>
      <c r="K154" s="5"/>
      <c r="L154"/>
      <c r="M154" s="202">
        <f>+F154*1.2</f>
        <v>0.78</v>
      </c>
      <c r="N154" s="337">
        <f>Assumptions!G$29</f>
        <v>10.6</v>
      </c>
      <c r="O154" s="198">
        <f t="shared" si="13"/>
        <v>8.268</v>
      </c>
      <c r="P154" s="198">
        <f t="shared" si="12"/>
        <v>21.695414</v>
      </c>
      <c r="Q154" s="178"/>
      <c r="R154" s="60"/>
    </row>
    <row r="155" spans="1:18" ht="12" outlineLevel="2">
      <c r="A155" s="272"/>
      <c r="B155" s="13"/>
      <c r="C155" s="366" t="s">
        <v>353</v>
      </c>
      <c r="D155" s="366"/>
      <c r="E155" s="6" t="s">
        <v>2</v>
      </c>
      <c r="F155" s="268"/>
      <c r="G155" s="202"/>
      <c r="H155" s="198"/>
      <c r="I155" s="367">
        <v>1.59</v>
      </c>
      <c r="J155" s="370" t="s">
        <v>35</v>
      </c>
      <c r="K155" s="369">
        <v>48</v>
      </c>
      <c r="L155" s="198">
        <f>+K155*I155</f>
        <v>76.32000000000001</v>
      </c>
      <c r="M155" s="268">
        <v>0</v>
      </c>
      <c r="N155" s="337">
        <f>Assumptions!G$29</f>
        <v>10.6</v>
      </c>
      <c r="O155" s="198">
        <f t="shared" si="13"/>
        <v>0</v>
      </c>
      <c r="P155" s="198">
        <f t="shared" si="12"/>
        <v>76.32000000000001</v>
      </c>
      <c r="Q155" s="178"/>
      <c r="R155" s="60"/>
    </row>
    <row r="156" spans="1:18" ht="12" outlineLevel="2">
      <c r="A156" s="272" t="s">
        <v>147</v>
      </c>
      <c r="B156" s="13" t="s">
        <v>365</v>
      </c>
      <c r="C156" s="13"/>
      <c r="D156" s="13"/>
      <c r="E156" s="6" t="s">
        <v>184</v>
      </c>
      <c r="F156" s="363">
        <v>0.65</v>
      </c>
      <c r="G156" s="202">
        <f>Machinery!U$5+Machinery!U$9</f>
        <v>20.65756</v>
      </c>
      <c r="H156" s="198">
        <f>G156*F156</f>
        <v>13.427414</v>
      </c>
      <c r="I156" s="33"/>
      <c r="J156"/>
      <c r="K156" s="5"/>
      <c r="L156"/>
      <c r="M156" s="202">
        <f>+F156*1.2</f>
        <v>0.78</v>
      </c>
      <c r="N156" s="337">
        <f>Assumptions!G$29</f>
        <v>10.6</v>
      </c>
      <c r="O156" s="198">
        <f t="shared" si="13"/>
        <v>8.268</v>
      </c>
      <c r="P156" s="198">
        <f t="shared" si="12"/>
        <v>21.695414</v>
      </c>
      <c r="Q156" s="178"/>
      <c r="R156" s="60"/>
    </row>
    <row r="157" spans="1:18" ht="12" outlineLevel="2">
      <c r="A157" s="272"/>
      <c r="B157" s="13"/>
      <c r="C157" s="366" t="s">
        <v>366</v>
      </c>
      <c r="D157" s="366"/>
      <c r="E157" s="6" t="s">
        <v>2</v>
      </c>
      <c r="F157" s="268"/>
      <c r="G157" s="202"/>
      <c r="H157" s="198"/>
      <c r="I157" s="367">
        <v>54</v>
      </c>
      <c r="J157" s="370" t="s">
        <v>367</v>
      </c>
      <c r="K157" s="369">
        <v>1</v>
      </c>
      <c r="L157" s="198">
        <f>+K157*I157</f>
        <v>54</v>
      </c>
      <c r="M157" s="268">
        <v>0</v>
      </c>
      <c r="N157" s="337">
        <f>Assumptions!G$29</f>
        <v>10.6</v>
      </c>
      <c r="O157" s="198">
        <f t="shared" si="13"/>
        <v>0</v>
      </c>
      <c r="P157" s="198">
        <f t="shared" si="12"/>
        <v>54</v>
      </c>
      <c r="Q157" s="178"/>
      <c r="R157" s="60"/>
    </row>
    <row r="158" spans="1:18" ht="12" outlineLevel="2">
      <c r="A158" s="13" t="s">
        <v>147</v>
      </c>
      <c r="B158" s="13" t="s">
        <v>170</v>
      </c>
      <c r="C158" s="13"/>
      <c r="D158" s="13"/>
      <c r="E158" s="201" t="s">
        <v>249</v>
      </c>
      <c r="F158" s="363">
        <v>2</v>
      </c>
      <c r="G158" s="202">
        <f>Machinery!U18+Machinery!V20</f>
        <v>7.6348</v>
      </c>
      <c r="H158" s="198">
        <f>G158*F158</f>
        <v>15.2696</v>
      </c>
      <c r="I158" s="203"/>
      <c r="J158" s="200" t="s">
        <v>2</v>
      </c>
      <c r="K158" s="201"/>
      <c r="L158" s="203"/>
      <c r="M158" s="363">
        <v>1</v>
      </c>
      <c r="N158" s="337">
        <f>Assumptions!G28</f>
        <v>14</v>
      </c>
      <c r="O158" s="198">
        <f t="shared" si="13"/>
        <v>14</v>
      </c>
      <c r="P158" s="198">
        <f t="shared" si="12"/>
        <v>29.2696</v>
      </c>
      <c r="Q158" s="178"/>
      <c r="R158" s="60"/>
    </row>
    <row r="159" spans="1:18" ht="12" outlineLevel="2">
      <c r="A159" s="13"/>
      <c r="B159" s="13"/>
      <c r="C159" s="366" t="s">
        <v>346</v>
      </c>
      <c r="D159" s="366"/>
      <c r="E159" s="201" t="s">
        <v>2</v>
      </c>
      <c r="F159" s="202"/>
      <c r="G159" s="202"/>
      <c r="H159" s="198"/>
      <c r="I159" s="367">
        <v>2.66</v>
      </c>
      <c r="J159" s="370" t="s">
        <v>26</v>
      </c>
      <c r="K159" s="369">
        <v>64</v>
      </c>
      <c r="L159" s="203">
        <f>+K159*I159</f>
        <v>170.24</v>
      </c>
      <c r="M159" s="202"/>
      <c r="N159" s="198"/>
      <c r="O159" s="198"/>
      <c r="P159" s="198">
        <f t="shared" si="12"/>
        <v>170.24</v>
      </c>
      <c r="Q159" s="178"/>
      <c r="R159" s="60"/>
    </row>
    <row r="160" spans="1:144" s="177" customFormat="1" ht="12" outlineLevel="1">
      <c r="A160" s="227" t="s">
        <v>178</v>
      </c>
      <c r="B160" s="227"/>
      <c r="C160" s="227"/>
      <c r="D160" s="227"/>
      <c r="E160" s="228"/>
      <c r="F160" s="229"/>
      <c r="G160" s="229"/>
      <c r="H160" s="230">
        <f>SUM(H125:H159)-H142</f>
        <v>314.8465893333333</v>
      </c>
      <c r="I160" s="244"/>
      <c r="J160" s="231"/>
      <c r="K160" s="228"/>
      <c r="L160" s="230">
        <f>SUM(L125:L159)-L142</f>
        <v>1132.265</v>
      </c>
      <c r="M160" s="260">
        <f>SUM(M125:M159)-M142</f>
        <v>402.12</v>
      </c>
      <c r="N160" s="230"/>
      <c r="O160" s="230">
        <f>SUM(O125:O159)-O142</f>
        <v>969.4269999999997</v>
      </c>
      <c r="P160" s="230">
        <f>SUM(P125:P159)-P142</f>
        <v>2416.538589333332</v>
      </c>
      <c r="Q160" s="230">
        <f>Q123+P160</f>
        <v>14327.866042999998</v>
      </c>
      <c r="R160" s="60"/>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row>
    <row r="161" spans="1:18" ht="12" outlineLevel="1">
      <c r="A161" s="153" t="s">
        <v>17</v>
      </c>
      <c r="B161" s="13"/>
      <c r="C161" s="13"/>
      <c r="D161" s="13"/>
      <c r="E161" s="201"/>
      <c r="F161" s="202"/>
      <c r="G161" s="202"/>
      <c r="H161" s="198" t="s">
        <v>2</v>
      </c>
      <c r="I161" s="198"/>
      <c r="J161" s="200"/>
      <c r="K161" s="201"/>
      <c r="L161" s="198"/>
      <c r="M161" s="202"/>
      <c r="N161" s="198"/>
      <c r="O161" s="198"/>
      <c r="P161" s="198"/>
      <c r="Q161" s="178" t="s">
        <v>2</v>
      </c>
      <c r="R161" s="60"/>
    </row>
    <row r="162" spans="1:18" ht="12" outlineLevel="2">
      <c r="A162" s="13" t="s">
        <v>142</v>
      </c>
      <c r="B162" s="13" t="s">
        <v>151</v>
      </c>
      <c r="C162" s="13"/>
      <c r="D162" s="13"/>
      <c r="E162" s="201" t="s">
        <v>137</v>
      </c>
      <c r="F162" s="202"/>
      <c r="G162" s="202"/>
      <c r="H162" s="198"/>
      <c r="I162" s="367">
        <v>7</v>
      </c>
      <c r="J162" s="370" t="s">
        <v>152</v>
      </c>
      <c r="K162" s="369">
        <v>1</v>
      </c>
      <c r="L162" s="198">
        <f>+K162*I162</f>
        <v>7</v>
      </c>
      <c r="M162" s="363">
        <v>0.5</v>
      </c>
      <c r="N162" s="337">
        <f>Assumptions!G29</f>
        <v>10.6</v>
      </c>
      <c r="O162" s="198">
        <f>+N162*M162</f>
        <v>5.3</v>
      </c>
      <c r="P162" s="198">
        <f aca="true" t="shared" si="14" ref="P162:P191">O162+L162+H162</f>
        <v>12.3</v>
      </c>
      <c r="Q162" s="178" t="s">
        <v>2</v>
      </c>
      <c r="R162" s="60" t="s">
        <v>2</v>
      </c>
    </row>
    <row r="163" spans="1:18" ht="12" outlineLevel="2">
      <c r="A163" s="13" t="s">
        <v>142</v>
      </c>
      <c r="B163" s="13" t="s">
        <v>348</v>
      </c>
      <c r="C163" s="13"/>
      <c r="D163" s="13"/>
      <c r="E163" s="6" t="s">
        <v>349</v>
      </c>
      <c r="F163" s="363">
        <v>2</v>
      </c>
      <c r="G163" s="202">
        <f>Machinery!U17</f>
        <v>1.16</v>
      </c>
      <c r="H163" s="198">
        <f>G163*F163</f>
        <v>2.32</v>
      </c>
      <c r="I163" s="33"/>
      <c r="J163"/>
      <c r="K163" s="5"/>
      <c r="L163"/>
      <c r="M163" s="202">
        <f>+F163*1.2</f>
        <v>2.4</v>
      </c>
      <c r="N163" s="337">
        <f>Assumptions!G29</f>
        <v>10.6</v>
      </c>
      <c r="O163" s="198">
        <f>+N163*M163</f>
        <v>25.439999999999998</v>
      </c>
      <c r="P163" s="198">
        <f t="shared" si="14"/>
        <v>27.759999999999998</v>
      </c>
      <c r="Q163" s="178"/>
      <c r="R163" s="60"/>
    </row>
    <row r="164" spans="1:18" ht="12" outlineLevel="2">
      <c r="A164" s="13" t="s">
        <v>142</v>
      </c>
      <c r="B164" s="13" t="s">
        <v>170</v>
      </c>
      <c r="C164" s="13"/>
      <c r="D164" s="13"/>
      <c r="E164" s="201" t="s">
        <v>249</v>
      </c>
      <c r="F164" s="363">
        <v>2</v>
      </c>
      <c r="G164" s="202">
        <f>Machinery!U18+Machinery!V20</f>
        <v>7.6348</v>
      </c>
      <c r="H164" s="198">
        <f>G164*F164</f>
        <v>15.2696</v>
      </c>
      <c r="I164" s="203"/>
      <c r="J164" s="200" t="s">
        <v>2</v>
      </c>
      <c r="K164" s="201"/>
      <c r="L164" s="203"/>
      <c r="M164" s="363">
        <v>1</v>
      </c>
      <c r="N164" s="337">
        <f>Assumptions!G28</f>
        <v>14</v>
      </c>
      <c r="O164" s="198">
        <f>+N164*M164</f>
        <v>14</v>
      </c>
      <c r="P164" s="198">
        <f t="shared" si="14"/>
        <v>29.2696</v>
      </c>
      <c r="Q164" s="178"/>
      <c r="R164" s="60"/>
    </row>
    <row r="165" spans="1:18" ht="12" outlineLevel="2">
      <c r="A165" s="13"/>
      <c r="B165" s="13"/>
      <c r="C165" s="366" t="s">
        <v>346</v>
      </c>
      <c r="D165" s="366"/>
      <c r="E165" s="201" t="s">
        <v>2</v>
      </c>
      <c r="F165" s="202"/>
      <c r="G165" s="202"/>
      <c r="H165" s="198"/>
      <c r="I165" s="367">
        <v>2.66</v>
      </c>
      <c r="J165" s="370" t="s">
        <v>26</v>
      </c>
      <c r="K165" s="369">
        <v>64</v>
      </c>
      <c r="L165" s="203">
        <f>+K165*I165</f>
        <v>170.24</v>
      </c>
      <c r="M165" s="202"/>
      <c r="N165" s="198"/>
      <c r="O165" s="198"/>
      <c r="P165" s="198">
        <f t="shared" si="14"/>
        <v>170.24</v>
      </c>
      <c r="Q165" s="178"/>
      <c r="R165" s="60"/>
    </row>
    <row r="166" spans="1:18" ht="12" outlineLevel="2">
      <c r="A166" s="13" t="s">
        <v>142</v>
      </c>
      <c r="B166" s="13" t="s">
        <v>177</v>
      </c>
      <c r="C166" s="13"/>
      <c r="D166" s="13"/>
      <c r="E166" s="201" t="s">
        <v>202</v>
      </c>
      <c r="F166" s="363">
        <v>2</v>
      </c>
      <c r="G166" s="202">
        <f>Machinery!V20</f>
        <v>7.206266666666667</v>
      </c>
      <c r="H166" s="198">
        <f>G166*F166</f>
        <v>14.412533333333334</v>
      </c>
      <c r="I166" s="203"/>
      <c r="J166" s="200" t="s">
        <v>2</v>
      </c>
      <c r="K166" s="201"/>
      <c r="L166" s="203"/>
      <c r="M166" s="363">
        <v>0.2</v>
      </c>
      <c r="N166" s="337">
        <f>Assumptions!G28</f>
        <v>14</v>
      </c>
      <c r="O166" s="198">
        <f aca="true" t="shared" si="15" ref="O166:O174">+N166*M166</f>
        <v>2.8000000000000003</v>
      </c>
      <c r="P166" s="198">
        <f t="shared" si="14"/>
        <v>17.212533333333333</v>
      </c>
      <c r="Q166" s="178"/>
      <c r="R166" s="60"/>
    </row>
    <row r="167" spans="1:18" ht="12" outlineLevel="2">
      <c r="A167" s="272" t="s">
        <v>142</v>
      </c>
      <c r="B167" s="13" t="s">
        <v>328</v>
      </c>
      <c r="C167" s="13"/>
      <c r="D167" s="13"/>
      <c r="E167" s="6" t="s">
        <v>184</v>
      </c>
      <c r="F167" s="363">
        <v>0.65</v>
      </c>
      <c r="G167" s="202">
        <f>Machinery!U$5+Machinery!U$9</f>
        <v>20.65756</v>
      </c>
      <c r="H167" s="198">
        <f>G167*F167</f>
        <v>13.427414</v>
      </c>
      <c r="I167" s="33"/>
      <c r="J167"/>
      <c r="K167" s="5"/>
      <c r="L167"/>
      <c r="M167" s="202">
        <f>+F167*1.2</f>
        <v>0.78</v>
      </c>
      <c r="N167" s="337">
        <f>Assumptions!G$29</f>
        <v>10.6</v>
      </c>
      <c r="O167" s="198">
        <f t="shared" si="15"/>
        <v>8.268</v>
      </c>
      <c r="P167" s="198">
        <f t="shared" si="14"/>
        <v>21.695414</v>
      </c>
      <c r="Q167" s="178"/>
      <c r="R167" s="60"/>
    </row>
    <row r="168" spans="1:18" ht="12" outlineLevel="2">
      <c r="A168" s="272"/>
      <c r="B168" s="13"/>
      <c r="C168" s="366" t="s">
        <v>353</v>
      </c>
      <c r="D168" s="366"/>
      <c r="E168" s="6" t="s">
        <v>2</v>
      </c>
      <c r="F168" s="268"/>
      <c r="G168" s="202"/>
      <c r="H168" s="198"/>
      <c r="I168" s="367">
        <v>1.59</v>
      </c>
      <c r="J168" s="370" t="s">
        <v>35</v>
      </c>
      <c r="K168" s="369">
        <v>48</v>
      </c>
      <c r="L168" s="198">
        <f>+K168*I168</f>
        <v>76.32000000000001</v>
      </c>
      <c r="M168" s="268">
        <v>0</v>
      </c>
      <c r="N168" s="337">
        <f>Assumptions!G$29</f>
        <v>10.6</v>
      </c>
      <c r="O168" s="198">
        <f t="shared" si="15"/>
        <v>0</v>
      </c>
      <c r="P168" s="198">
        <f t="shared" si="14"/>
        <v>76.32000000000001</v>
      </c>
      <c r="Q168" s="178"/>
      <c r="R168" s="60"/>
    </row>
    <row r="169" spans="1:18" ht="12" outlineLevel="2">
      <c r="A169" s="272" t="s">
        <v>142</v>
      </c>
      <c r="B169" s="13" t="s">
        <v>365</v>
      </c>
      <c r="C169" s="13"/>
      <c r="D169" s="13"/>
      <c r="E169" s="6" t="s">
        <v>184</v>
      </c>
      <c r="F169" s="363">
        <v>0.65</v>
      </c>
      <c r="G169" s="202">
        <f>Machinery!U$5+Machinery!U$9</f>
        <v>20.65756</v>
      </c>
      <c r="H169" s="198">
        <f>G169*F169</f>
        <v>13.427414</v>
      </c>
      <c r="I169" s="33"/>
      <c r="J169"/>
      <c r="K169" s="5"/>
      <c r="L169"/>
      <c r="M169" s="202">
        <f>+F169*1.2</f>
        <v>0.78</v>
      </c>
      <c r="N169" s="337">
        <f>Assumptions!G$29</f>
        <v>10.6</v>
      </c>
      <c r="O169" s="198">
        <f>+N169*M169</f>
        <v>8.268</v>
      </c>
      <c r="P169" s="198">
        <f t="shared" si="14"/>
        <v>21.695414</v>
      </c>
      <c r="Q169" s="178"/>
      <c r="R169" s="60"/>
    </row>
    <row r="170" spans="1:18" ht="12" outlineLevel="2">
      <c r="A170" s="272"/>
      <c r="B170" s="13"/>
      <c r="C170" s="366" t="s">
        <v>366</v>
      </c>
      <c r="D170" s="366"/>
      <c r="E170" s="6" t="s">
        <v>2</v>
      </c>
      <c r="F170" s="268"/>
      <c r="G170" s="202"/>
      <c r="H170" s="198"/>
      <c r="I170" s="367">
        <v>54</v>
      </c>
      <c r="J170" s="370" t="s">
        <v>367</v>
      </c>
      <c r="K170" s="369">
        <v>1</v>
      </c>
      <c r="L170" s="198">
        <f>+K170*I170</f>
        <v>54</v>
      </c>
      <c r="M170" s="268">
        <v>0</v>
      </c>
      <c r="N170" s="337">
        <f>Assumptions!G$29</f>
        <v>10.6</v>
      </c>
      <c r="O170" s="198">
        <f>+N170*M170</f>
        <v>0</v>
      </c>
      <c r="P170" s="198">
        <f t="shared" si="14"/>
        <v>54</v>
      </c>
      <c r="Q170" s="178"/>
      <c r="R170" s="60"/>
    </row>
    <row r="171" spans="1:18" ht="12" outlineLevel="2">
      <c r="A171" s="13" t="s">
        <v>142</v>
      </c>
      <c r="B171" s="13" t="s">
        <v>209</v>
      </c>
      <c r="C171" s="13"/>
      <c r="D171" s="13"/>
      <c r="E171" s="201"/>
      <c r="F171" s="202"/>
      <c r="G171" s="202"/>
      <c r="H171" s="198"/>
      <c r="I171" s="210"/>
      <c r="J171" s="200"/>
      <c r="K171" s="201"/>
      <c r="L171" s="198"/>
      <c r="M171" s="363">
        <f>50/5</f>
        <v>10</v>
      </c>
      <c r="N171" s="337">
        <f>Assumptions!G29</f>
        <v>10.6</v>
      </c>
      <c r="O171" s="198">
        <f t="shared" si="15"/>
        <v>106</v>
      </c>
      <c r="P171" s="198">
        <f t="shared" si="14"/>
        <v>106</v>
      </c>
      <c r="Q171" s="178"/>
      <c r="R171" s="60"/>
    </row>
    <row r="172" spans="1:18" ht="12" outlineLevel="2">
      <c r="A172" s="13" t="s">
        <v>142</v>
      </c>
      <c r="B172" s="13" t="s">
        <v>210</v>
      </c>
      <c r="C172" s="13"/>
      <c r="D172" s="13"/>
      <c r="E172" s="201"/>
      <c r="F172" s="202"/>
      <c r="G172" s="202"/>
      <c r="H172" s="198"/>
      <c r="I172" s="203">
        <f>Assumptions!G32</f>
        <v>0.75</v>
      </c>
      <c r="J172" s="215" t="s">
        <v>242</v>
      </c>
      <c r="K172" s="267">
        <f>Assumptions!H13/6</f>
        <v>587.5</v>
      </c>
      <c r="L172" s="198">
        <f>+K172*I172</f>
        <v>440.625</v>
      </c>
      <c r="M172" s="363">
        <f>50/5</f>
        <v>10</v>
      </c>
      <c r="N172" s="337">
        <f>Assumptions!G29</f>
        <v>10.6</v>
      </c>
      <c r="O172" s="198">
        <f t="shared" si="15"/>
        <v>106</v>
      </c>
      <c r="P172" s="198">
        <f t="shared" si="14"/>
        <v>546.625</v>
      </c>
      <c r="Q172" s="178"/>
      <c r="R172" s="60"/>
    </row>
    <row r="173" spans="1:18" ht="12" outlineLevel="2">
      <c r="A173" s="13" t="s">
        <v>142</v>
      </c>
      <c r="B173" s="13" t="s">
        <v>176</v>
      </c>
      <c r="C173" s="13"/>
      <c r="D173" s="13"/>
      <c r="E173" s="201"/>
      <c r="F173" s="202"/>
      <c r="G173" s="202"/>
      <c r="H173" s="198"/>
      <c r="I173" s="210" t="s">
        <v>2</v>
      </c>
      <c r="J173" s="200" t="s">
        <v>2</v>
      </c>
      <c r="K173" s="201" t="s">
        <v>2</v>
      </c>
      <c r="L173" s="198"/>
      <c r="M173" s="268">
        <f>K172*Assumptions!G22</f>
        <v>352.5</v>
      </c>
      <c r="N173" s="339">
        <f>Assumptions!G30</f>
        <v>1.15</v>
      </c>
      <c r="O173" s="198">
        <f t="shared" si="15"/>
        <v>405.37499999999994</v>
      </c>
      <c r="P173" s="198">
        <f t="shared" si="14"/>
        <v>405.37499999999994</v>
      </c>
      <c r="Q173" s="178"/>
      <c r="R173" s="60"/>
    </row>
    <row r="174" spans="1:18" ht="12" outlineLevel="2">
      <c r="A174" s="13" t="s">
        <v>138</v>
      </c>
      <c r="B174" s="13" t="s">
        <v>170</v>
      </c>
      <c r="C174" s="13"/>
      <c r="D174" s="13"/>
      <c r="E174" s="201" t="s">
        <v>249</v>
      </c>
      <c r="F174" s="363">
        <v>2</v>
      </c>
      <c r="G174" s="202">
        <f>Machinery!U18+Machinery!V20</f>
        <v>7.6348</v>
      </c>
      <c r="H174" s="198">
        <f>G174*F174</f>
        <v>15.2696</v>
      </c>
      <c r="I174" s="203"/>
      <c r="J174" s="200" t="s">
        <v>2</v>
      </c>
      <c r="K174" s="201"/>
      <c r="L174" s="203"/>
      <c r="M174" s="363">
        <v>1</v>
      </c>
      <c r="N174" s="337">
        <f>Assumptions!G28</f>
        <v>14</v>
      </c>
      <c r="O174" s="198">
        <f t="shared" si="15"/>
        <v>14</v>
      </c>
      <c r="P174" s="198">
        <f t="shared" si="14"/>
        <v>29.2696</v>
      </c>
      <c r="Q174" s="178"/>
      <c r="R174" s="60"/>
    </row>
    <row r="175" spans="1:18" ht="12" outlineLevel="2">
      <c r="A175" s="13"/>
      <c r="B175" s="13"/>
      <c r="C175" s="366" t="s">
        <v>346</v>
      </c>
      <c r="D175" s="366"/>
      <c r="E175" s="201" t="s">
        <v>2</v>
      </c>
      <c r="F175" s="202"/>
      <c r="G175" s="202"/>
      <c r="H175" s="198"/>
      <c r="I175" s="367">
        <v>2.66</v>
      </c>
      <c r="J175" s="370" t="s">
        <v>26</v>
      </c>
      <c r="K175" s="369">
        <v>64</v>
      </c>
      <c r="L175" s="203">
        <f>+K175*I175</f>
        <v>170.24</v>
      </c>
      <c r="M175" s="202"/>
      <c r="N175" s="198"/>
      <c r="O175" s="198"/>
      <c r="P175" s="198">
        <f t="shared" si="14"/>
        <v>170.24</v>
      </c>
      <c r="Q175" s="178"/>
      <c r="R175" s="60"/>
    </row>
    <row r="176" spans="1:18" ht="12" outlineLevel="2">
      <c r="A176" s="13" t="s">
        <v>138</v>
      </c>
      <c r="B176" s="13" t="s">
        <v>179</v>
      </c>
      <c r="C176" s="13"/>
      <c r="D176" s="13"/>
      <c r="E176" s="201" t="s">
        <v>202</v>
      </c>
      <c r="F176" s="363">
        <v>2</v>
      </c>
      <c r="G176" s="202">
        <f>Machinery!V20</f>
        <v>7.206266666666667</v>
      </c>
      <c r="H176" s="198">
        <f>G176*F176</f>
        <v>14.412533333333334</v>
      </c>
      <c r="I176" s="203"/>
      <c r="J176" s="200" t="s">
        <v>2</v>
      </c>
      <c r="K176" s="201"/>
      <c r="L176" s="203"/>
      <c r="M176" s="363">
        <v>0.2</v>
      </c>
      <c r="N176" s="337">
        <f>Assumptions!G28</f>
        <v>14</v>
      </c>
      <c r="O176" s="198">
        <f aca="true" t="shared" si="16" ref="O176:O191">+N176*M176</f>
        <v>2.8000000000000003</v>
      </c>
      <c r="P176" s="198">
        <f t="shared" si="14"/>
        <v>17.212533333333333</v>
      </c>
      <c r="Q176" s="178"/>
      <c r="R176" s="60"/>
    </row>
    <row r="177" spans="1:18" ht="12" outlineLevel="2">
      <c r="A177" s="13" t="s">
        <v>138</v>
      </c>
      <c r="B177" s="13" t="s">
        <v>209</v>
      </c>
      <c r="C177" s="13"/>
      <c r="D177" s="13"/>
      <c r="E177" s="201"/>
      <c r="F177" s="202"/>
      <c r="G177" s="202"/>
      <c r="H177" s="198"/>
      <c r="I177" s="210"/>
      <c r="J177" s="200"/>
      <c r="K177" s="201"/>
      <c r="L177" s="198"/>
      <c r="M177" s="363">
        <f>60/5</f>
        <v>12</v>
      </c>
      <c r="N177" s="337">
        <f>Assumptions!G29</f>
        <v>10.6</v>
      </c>
      <c r="O177" s="198">
        <f t="shared" si="16"/>
        <v>127.19999999999999</v>
      </c>
      <c r="P177" s="198">
        <f t="shared" si="14"/>
        <v>127.19999999999999</v>
      </c>
      <c r="Q177" s="178"/>
      <c r="R177" s="60"/>
    </row>
    <row r="178" spans="1:18" ht="12" outlineLevel="2">
      <c r="A178" s="13" t="s">
        <v>138</v>
      </c>
      <c r="B178" s="13" t="s">
        <v>210</v>
      </c>
      <c r="C178" s="13"/>
      <c r="D178" s="13"/>
      <c r="E178" s="201"/>
      <c r="F178" s="202"/>
      <c r="G178" s="202"/>
      <c r="H178" s="198"/>
      <c r="I178" s="203">
        <f>Assumptions!G32</f>
        <v>0.75</v>
      </c>
      <c r="J178" s="215" t="s">
        <v>242</v>
      </c>
      <c r="K178" s="267">
        <f>Assumptions!H14/6</f>
        <v>470</v>
      </c>
      <c r="L178" s="198">
        <f>+K178*I178</f>
        <v>352.5</v>
      </c>
      <c r="M178" s="363">
        <f>60/5</f>
        <v>12</v>
      </c>
      <c r="N178" s="337">
        <f>Assumptions!G29</f>
        <v>10.6</v>
      </c>
      <c r="O178" s="198">
        <f t="shared" si="16"/>
        <v>127.19999999999999</v>
      </c>
      <c r="P178" s="198">
        <f t="shared" si="14"/>
        <v>479.7</v>
      </c>
      <c r="Q178" s="178"/>
      <c r="R178" s="60"/>
    </row>
    <row r="179" spans="1:18" ht="12" outlineLevel="2">
      <c r="A179" s="13" t="s">
        <v>138</v>
      </c>
      <c r="B179" s="13" t="s">
        <v>176</v>
      </c>
      <c r="C179" s="13"/>
      <c r="D179" s="13"/>
      <c r="E179" s="201"/>
      <c r="F179" s="202"/>
      <c r="G179" s="202"/>
      <c r="H179" s="198"/>
      <c r="I179" s="210" t="s">
        <v>2</v>
      </c>
      <c r="J179" s="200" t="s">
        <v>2</v>
      </c>
      <c r="K179" s="201" t="s">
        <v>2</v>
      </c>
      <c r="L179" s="198"/>
      <c r="M179" s="268">
        <f>K178*Assumptions!G22</f>
        <v>282</v>
      </c>
      <c r="N179" s="339">
        <f>Assumptions!G30</f>
        <v>1.15</v>
      </c>
      <c r="O179" s="198">
        <f t="shared" si="16"/>
        <v>324.29999999999995</v>
      </c>
      <c r="P179" s="198">
        <f t="shared" si="14"/>
        <v>324.29999999999995</v>
      </c>
      <c r="Q179" s="178"/>
      <c r="R179" s="60"/>
    </row>
    <row r="180" spans="1:18" ht="12" outlineLevel="2">
      <c r="A180" s="272" t="s">
        <v>144</v>
      </c>
      <c r="B180" s="13" t="s">
        <v>365</v>
      </c>
      <c r="C180" s="13"/>
      <c r="D180" s="13"/>
      <c r="E180" s="6" t="s">
        <v>184</v>
      </c>
      <c r="F180" s="363">
        <v>0.65</v>
      </c>
      <c r="G180" s="202">
        <f>Machinery!U$5+Machinery!U$9</f>
        <v>20.65756</v>
      </c>
      <c r="H180" s="198">
        <f>G180*F180</f>
        <v>13.427414</v>
      </c>
      <c r="I180" s="33"/>
      <c r="J180"/>
      <c r="K180" s="5"/>
      <c r="L180"/>
      <c r="M180" s="202">
        <f>+F180*1.2</f>
        <v>0.78</v>
      </c>
      <c r="N180" s="337">
        <f>Assumptions!G$29</f>
        <v>10.6</v>
      </c>
      <c r="O180" s="198">
        <f>+N180*M180</f>
        <v>8.268</v>
      </c>
      <c r="P180" s="198">
        <f t="shared" si="14"/>
        <v>21.695414</v>
      </c>
      <c r="Q180" s="178"/>
      <c r="R180" s="60"/>
    </row>
    <row r="181" spans="1:18" ht="12" outlineLevel="2">
      <c r="A181" s="272"/>
      <c r="B181" s="13"/>
      <c r="C181" s="366" t="s">
        <v>366</v>
      </c>
      <c r="D181" s="366"/>
      <c r="E181" s="6" t="s">
        <v>2</v>
      </c>
      <c r="F181" s="268"/>
      <c r="G181" s="202"/>
      <c r="H181" s="198"/>
      <c r="I181" s="367">
        <v>54</v>
      </c>
      <c r="J181" s="370" t="s">
        <v>367</v>
      </c>
      <c r="K181" s="369">
        <v>1</v>
      </c>
      <c r="L181" s="198">
        <f>+K181*I181</f>
        <v>54</v>
      </c>
      <c r="M181" s="268">
        <v>0</v>
      </c>
      <c r="N181" s="337">
        <f>Assumptions!G$29</f>
        <v>10.6</v>
      </c>
      <c r="O181" s="198">
        <f>+N181*M181</f>
        <v>0</v>
      </c>
      <c r="P181" s="198">
        <f t="shared" si="14"/>
        <v>54</v>
      </c>
      <c r="Q181" s="178"/>
      <c r="R181" s="60"/>
    </row>
    <row r="182" spans="1:18" ht="12" outlineLevel="2">
      <c r="A182" s="13" t="s">
        <v>218</v>
      </c>
      <c r="B182" s="13" t="s">
        <v>179</v>
      </c>
      <c r="C182" s="13"/>
      <c r="D182" s="13"/>
      <c r="E182" s="201" t="s">
        <v>202</v>
      </c>
      <c r="F182" s="363">
        <v>4</v>
      </c>
      <c r="G182" s="202">
        <f>Machinery!V20</f>
        <v>7.206266666666667</v>
      </c>
      <c r="H182" s="198">
        <f>G182*F182</f>
        <v>28.825066666666668</v>
      </c>
      <c r="I182" s="203"/>
      <c r="J182" s="200" t="s">
        <v>2</v>
      </c>
      <c r="K182" s="201"/>
      <c r="L182" s="203"/>
      <c r="M182" s="363">
        <v>0.4</v>
      </c>
      <c r="N182" s="337">
        <f>Assumptions!G28</f>
        <v>14</v>
      </c>
      <c r="O182" s="198">
        <f t="shared" si="16"/>
        <v>5.6000000000000005</v>
      </c>
      <c r="P182" s="198">
        <f t="shared" si="14"/>
        <v>34.425066666666666</v>
      </c>
      <c r="Q182" s="178"/>
      <c r="R182" s="60"/>
    </row>
    <row r="183" spans="1:18" ht="12" outlineLevel="2">
      <c r="A183" s="13" t="s">
        <v>144</v>
      </c>
      <c r="B183" s="13" t="s">
        <v>348</v>
      </c>
      <c r="C183" s="13"/>
      <c r="D183" s="13"/>
      <c r="E183" s="6" t="s">
        <v>349</v>
      </c>
      <c r="F183" s="363">
        <v>2</v>
      </c>
      <c r="G183" s="202">
        <f>Machinery!U17</f>
        <v>1.16</v>
      </c>
      <c r="H183" s="198">
        <f>G183*F183</f>
        <v>2.32</v>
      </c>
      <c r="I183" s="33"/>
      <c r="J183"/>
      <c r="K183" s="5"/>
      <c r="L183"/>
      <c r="M183" s="202">
        <f>+F183*1.2</f>
        <v>2.4</v>
      </c>
      <c r="N183" s="337">
        <f>Assumptions!G29</f>
        <v>10.6</v>
      </c>
      <c r="O183" s="198">
        <f>+N183*M183</f>
        <v>25.439999999999998</v>
      </c>
      <c r="P183" s="198">
        <f>O183+L183+H183</f>
        <v>27.759999999999998</v>
      </c>
      <c r="Q183" s="178"/>
      <c r="R183" s="60"/>
    </row>
    <row r="184" spans="1:18" ht="12" outlineLevel="2">
      <c r="A184" s="13" t="s">
        <v>218</v>
      </c>
      <c r="B184" s="13" t="s">
        <v>209</v>
      </c>
      <c r="C184" s="13"/>
      <c r="D184" s="13"/>
      <c r="E184" s="201"/>
      <c r="F184" s="202"/>
      <c r="G184" s="202"/>
      <c r="H184" s="198"/>
      <c r="I184" s="210"/>
      <c r="J184" s="200"/>
      <c r="K184" s="201"/>
      <c r="L184" s="198"/>
      <c r="M184" s="363">
        <f>50/5</f>
        <v>10</v>
      </c>
      <c r="N184" s="337">
        <f>Assumptions!G29</f>
        <v>10.6</v>
      </c>
      <c r="O184" s="198">
        <f t="shared" si="16"/>
        <v>106</v>
      </c>
      <c r="P184" s="198">
        <f t="shared" si="14"/>
        <v>106</v>
      </c>
      <c r="Q184" s="178"/>
      <c r="R184" s="60"/>
    </row>
    <row r="185" spans="1:18" ht="12" outlineLevel="2">
      <c r="A185" s="13" t="s">
        <v>218</v>
      </c>
      <c r="B185" s="13" t="s">
        <v>210</v>
      </c>
      <c r="C185" s="13"/>
      <c r="D185" s="13"/>
      <c r="E185" s="201"/>
      <c r="F185" s="202"/>
      <c r="G185" s="202"/>
      <c r="H185" s="198"/>
      <c r="I185" s="203">
        <f>Assumptions!G32</f>
        <v>0.75</v>
      </c>
      <c r="J185" s="215" t="s">
        <v>242</v>
      </c>
      <c r="K185" s="267">
        <f>Assumptions!H15/6</f>
        <v>352.5</v>
      </c>
      <c r="L185" s="198">
        <f>+K185*I185</f>
        <v>264.375</v>
      </c>
      <c r="M185" s="363">
        <f>50/5</f>
        <v>10</v>
      </c>
      <c r="N185" s="337">
        <f>Assumptions!G29</f>
        <v>10.6</v>
      </c>
      <c r="O185" s="198">
        <f t="shared" si="16"/>
        <v>106</v>
      </c>
      <c r="P185" s="198">
        <f t="shared" si="14"/>
        <v>370.375</v>
      </c>
      <c r="Q185" s="178"/>
      <c r="R185" s="60"/>
    </row>
    <row r="186" spans="1:18" ht="12" outlineLevel="2">
      <c r="A186" s="13" t="s">
        <v>218</v>
      </c>
      <c r="B186" s="13" t="s">
        <v>176</v>
      </c>
      <c r="C186" s="13"/>
      <c r="D186" s="13"/>
      <c r="E186" s="201"/>
      <c r="F186" s="202"/>
      <c r="G186" s="202"/>
      <c r="H186" s="198"/>
      <c r="I186" s="210" t="s">
        <v>2</v>
      </c>
      <c r="J186" s="200" t="s">
        <v>2</v>
      </c>
      <c r="K186" s="201" t="s">
        <v>2</v>
      </c>
      <c r="L186" s="198"/>
      <c r="M186" s="268">
        <f>K185*Assumptions!G22</f>
        <v>211.5</v>
      </c>
      <c r="N186" s="339">
        <f>Assumptions!G30</f>
        <v>1.15</v>
      </c>
      <c r="O186" s="198">
        <f t="shared" si="16"/>
        <v>243.225</v>
      </c>
      <c r="P186" s="198">
        <f t="shared" si="14"/>
        <v>243.225</v>
      </c>
      <c r="Q186" s="178"/>
      <c r="R186" s="60"/>
    </row>
    <row r="187" spans="1:18" ht="12" outlineLevel="2">
      <c r="A187" s="13" t="s">
        <v>147</v>
      </c>
      <c r="B187" s="13" t="s">
        <v>179</v>
      </c>
      <c r="C187" s="13"/>
      <c r="D187" s="13"/>
      <c r="E187" s="201" t="s">
        <v>202</v>
      </c>
      <c r="F187" s="363">
        <v>4</v>
      </c>
      <c r="G187" s="202">
        <f>Machinery!V20</f>
        <v>7.206266666666667</v>
      </c>
      <c r="H187" s="198">
        <f>G187*F187</f>
        <v>28.825066666666668</v>
      </c>
      <c r="I187" s="203"/>
      <c r="J187" s="200" t="s">
        <v>2</v>
      </c>
      <c r="K187" s="201"/>
      <c r="L187" s="203"/>
      <c r="M187" s="363">
        <v>0.4</v>
      </c>
      <c r="N187" s="337">
        <f>Assumptions!G28</f>
        <v>14</v>
      </c>
      <c r="O187" s="198">
        <f t="shared" si="16"/>
        <v>5.6000000000000005</v>
      </c>
      <c r="P187" s="198">
        <f t="shared" si="14"/>
        <v>34.425066666666666</v>
      </c>
      <c r="Q187" s="178"/>
      <c r="R187" s="60"/>
    </row>
    <row r="188" spans="1:18" ht="12" outlineLevel="2">
      <c r="A188" s="13" t="s">
        <v>147</v>
      </c>
      <c r="B188" s="13" t="s">
        <v>209</v>
      </c>
      <c r="C188" s="13"/>
      <c r="D188" s="13"/>
      <c r="E188" s="201"/>
      <c r="F188" s="202"/>
      <c r="G188" s="202"/>
      <c r="H188" s="198"/>
      <c r="I188" s="210"/>
      <c r="J188" s="200"/>
      <c r="K188" s="201"/>
      <c r="L188" s="198"/>
      <c r="M188" s="363">
        <f>30/5</f>
        <v>6</v>
      </c>
      <c r="N188" s="337">
        <f>Assumptions!G29</f>
        <v>10.6</v>
      </c>
      <c r="O188" s="198">
        <f t="shared" si="16"/>
        <v>63.599999999999994</v>
      </c>
      <c r="P188" s="198">
        <f t="shared" si="14"/>
        <v>63.599999999999994</v>
      </c>
      <c r="Q188" s="178"/>
      <c r="R188" s="60"/>
    </row>
    <row r="189" spans="1:18" ht="12" outlineLevel="2">
      <c r="A189" s="13" t="s">
        <v>147</v>
      </c>
      <c r="B189" s="13" t="s">
        <v>210</v>
      </c>
      <c r="C189" s="13"/>
      <c r="D189" s="13"/>
      <c r="E189" s="201"/>
      <c r="F189" s="202"/>
      <c r="G189" s="202"/>
      <c r="H189" s="198"/>
      <c r="I189" s="203">
        <f>Assumptions!G32</f>
        <v>0.75</v>
      </c>
      <c r="J189" s="215" t="s">
        <v>242</v>
      </c>
      <c r="K189" s="267">
        <f>Assumptions!H16/6</f>
        <v>352.5</v>
      </c>
      <c r="L189" s="198">
        <f>+K189*I189</f>
        <v>264.375</v>
      </c>
      <c r="M189" s="363">
        <f>30/5</f>
        <v>6</v>
      </c>
      <c r="N189" s="337">
        <f>Assumptions!G29</f>
        <v>10.6</v>
      </c>
      <c r="O189" s="198">
        <f t="shared" si="16"/>
        <v>63.599999999999994</v>
      </c>
      <c r="P189" s="198">
        <f t="shared" si="14"/>
        <v>327.975</v>
      </c>
      <c r="Q189" s="178"/>
      <c r="R189" s="60"/>
    </row>
    <row r="190" spans="1:18" ht="12" outlineLevel="2">
      <c r="A190" s="13" t="s">
        <v>147</v>
      </c>
      <c r="B190" s="13" t="s">
        <v>176</v>
      </c>
      <c r="C190" s="13"/>
      <c r="D190" s="13"/>
      <c r="E190" s="201"/>
      <c r="F190" s="202"/>
      <c r="G190" s="202"/>
      <c r="H190" s="198"/>
      <c r="I190" s="210" t="s">
        <v>2</v>
      </c>
      <c r="J190" s="200" t="s">
        <v>2</v>
      </c>
      <c r="K190" s="201" t="s">
        <v>2</v>
      </c>
      <c r="L190" s="198"/>
      <c r="M190" s="268">
        <f>K189*Assumptions!G22</f>
        <v>211.5</v>
      </c>
      <c r="N190" s="339">
        <f>Assumptions!G30</f>
        <v>1.15</v>
      </c>
      <c r="O190" s="198">
        <f t="shared" si="16"/>
        <v>243.225</v>
      </c>
      <c r="P190" s="198">
        <f t="shared" si="14"/>
        <v>243.225</v>
      </c>
      <c r="Q190" s="178"/>
      <c r="R190" s="60"/>
    </row>
    <row r="191" spans="1:18" ht="12" outlineLevel="2">
      <c r="A191" s="13" t="s">
        <v>147</v>
      </c>
      <c r="B191" s="13" t="s">
        <v>180</v>
      </c>
      <c r="C191" s="13"/>
      <c r="D191" s="13"/>
      <c r="E191" s="201"/>
      <c r="F191" s="202"/>
      <c r="G191" s="202"/>
      <c r="H191" s="198"/>
      <c r="I191" s="203"/>
      <c r="J191" s="200"/>
      <c r="K191" s="201"/>
      <c r="L191" s="203"/>
      <c r="M191" s="363">
        <v>6</v>
      </c>
      <c r="N191" s="337">
        <f>Assumptions!G29</f>
        <v>10.6</v>
      </c>
      <c r="O191" s="198">
        <f t="shared" si="16"/>
        <v>63.599999999999994</v>
      </c>
      <c r="P191" s="198">
        <f t="shared" si="14"/>
        <v>63.599999999999994</v>
      </c>
      <c r="Q191" s="178"/>
      <c r="R191" s="60"/>
    </row>
    <row r="192" spans="1:144" s="177" customFormat="1" ht="12" outlineLevel="1">
      <c r="A192" s="227" t="s">
        <v>181</v>
      </c>
      <c r="B192" s="227"/>
      <c r="C192" s="227"/>
      <c r="D192" s="227"/>
      <c r="E192" s="228"/>
      <c r="F192" s="229"/>
      <c r="G192" s="229"/>
      <c r="H192" s="230">
        <f>SUM(H162:H191)</f>
        <v>161.93664199999998</v>
      </c>
      <c r="I192" s="230"/>
      <c r="J192" s="231"/>
      <c r="K192" s="228"/>
      <c r="L192" s="230">
        <f>SUM(L162:L191)</f>
        <v>1853.675</v>
      </c>
      <c r="M192" s="260">
        <f>SUM(M162:M191)</f>
        <v>1150.34</v>
      </c>
      <c r="N192" s="230"/>
      <c r="O192" s="230">
        <f>SUM(O162:O191)</f>
        <v>2211.1089999999995</v>
      </c>
      <c r="P192" s="230">
        <f>SUM(P162:P191)</f>
        <v>4226.720642</v>
      </c>
      <c r="Q192" s="230">
        <f>P192+Q160</f>
        <v>18554.586685</v>
      </c>
      <c r="R192" s="60"/>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169"/>
      <c r="CQ192" s="169"/>
      <c r="CR192" s="169"/>
      <c r="CS192" s="169"/>
      <c r="CT192" s="169"/>
      <c r="CU192" s="169"/>
      <c r="CV192" s="169"/>
      <c r="CW192" s="169"/>
      <c r="CX192" s="169"/>
      <c r="CY192" s="169"/>
      <c r="CZ192" s="169"/>
      <c r="DA192" s="169"/>
      <c r="DB192" s="169"/>
      <c r="DC192" s="169"/>
      <c r="DD192" s="169"/>
      <c r="DE192" s="169"/>
      <c r="DF192" s="169"/>
      <c r="DG192" s="169"/>
      <c r="DH192" s="169"/>
      <c r="DI192" s="169"/>
      <c r="DJ192" s="169"/>
      <c r="DK192" s="169"/>
      <c r="DL192" s="169"/>
      <c r="DM192" s="169"/>
      <c r="DN192" s="169"/>
      <c r="DO192" s="169"/>
      <c r="DP192" s="169"/>
      <c r="DQ192" s="169"/>
      <c r="DR192" s="169"/>
      <c r="DS192" s="169"/>
      <c r="DT192" s="169"/>
      <c r="DU192" s="169"/>
      <c r="DV192" s="169"/>
      <c r="DW192" s="169"/>
      <c r="DX192" s="169"/>
      <c r="DY192" s="169"/>
      <c r="DZ192" s="169"/>
      <c r="EA192" s="169"/>
      <c r="EB192" s="169"/>
      <c r="EC192" s="169"/>
      <c r="ED192" s="169"/>
      <c r="EE192" s="169"/>
      <c r="EF192" s="169"/>
      <c r="EG192" s="169"/>
      <c r="EH192" s="169"/>
      <c r="EI192" s="169"/>
      <c r="EJ192" s="169"/>
      <c r="EK192" s="169"/>
      <c r="EL192" s="169"/>
      <c r="EM192" s="169"/>
      <c r="EN192" s="169"/>
    </row>
    <row r="193" spans="1:144" s="218" customFormat="1" ht="12">
      <c r="A193" s="246" t="s">
        <v>211</v>
      </c>
      <c r="B193" s="224"/>
      <c r="C193" s="224"/>
      <c r="D193" s="224"/>
      <c r="E193" s="225"/>
      <c r="F193" s="226"/>
      <c r="G193" s="226"/>
      <c r="H193" s="238">
        <f>SUM(H145:H191)-H160</f>
        <v>218.47360333333336</v>
      </c>
      <c r="I193" s="238"/>
      <c r="J193" s="249"/>
      <c r="K193" s="250"/>
      <c r="L193" s="238">
        <f>SUM(L145:L191)-L160</f>
        <v>2634.8600000000006</v>
      </c>
      <c r="M193" s="274">
        <f>SUM(M145:M191)-M160</f>
        <v>1535.6000000000004</v>
      </c>
      <c r="N193" s="238"/>
      <c r="O193" s="238">
        <f>SUM(O145:O191)-O160</f>
        <v>2967.819999999999</v>
      </c>
      <c r="P193" s="238">
        <f>SUM(P145:P191)-P160</f>
        <v>5821.153603333334</v>
      </c>
      <c r="Q193" s="238">
        <f>Q142+P193</f>
        <v>18554.586685000002</v>
      </c>
      <c r="R193" s="60"/>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169"/>
      <c r="CU193" s="169"/>
      <c r="CV193" s="169"/>
      <c r="CW193" s="169"/>
      <c r="CX193" s="169"/>
      <c r="CY193" s="169"/>
      <c r="CZ193" s="169"/>
      <c r="DA193" s="169"/>
      <c r="DB193" s="169"/>
      <c r="DC193" s="169"/>
      <c r="DD193" s="169"/>
      <c r="DE193" s="169"/>
      <c r="DF193" s="169"/>
      <c r="DG193" s="169"/>
      <c r="DH193" s="169"/>
      <c r="DI193" s="169"/>
      <c r="DJ193" s="169"/>
      <c r="DK193" s="169"/>
      <c r="DL193" s="169"/>
      <c r="DM193" s="169"/>
      <c r="DN193" s="169"/>
      <c r="DO193" s="169"/>
      <c r="DP193" s="169"/>
      <c r="DQ193" s="169"/>
      <c r="DR193" s="169"/>
      <c r="DS193" s="169"/>
      <c r="DT193" s="169"/>
      <c r="DU193" s="169"/>
      <c r="DV193" s="169"/>
      <c r="DW193" s="169"/>
      <c r="DX193" s="169"/>
      <c r="DY193" s="169"/>
      <c r="DZ193" s="169"/>
      <c r="EA193" s="169"/>
      <c r="EB193" s="169"/>
      <c r="EC193" s="169"/>
      <c r="ED193" s="169"/>
      <c r="EE193" s="169"/>
      <c r="EF193" s="169"/>
      <c r="EG193" s="169"/>
      <c r="EH193" s="169"/>
      <c r="EI193" s="169"/>
      <c r="EJ193" s="169"/>
      <c r="EK193" s="169"/>
      <c r="EL193" s="169"/>
      <c r="EM193" s="169"/>
      <c r="EN193" s="169"/>
    </row>
    <row r="194" spans="1:144" s="218" customFormat="1" ht="12">
      <c r="A194" s="290" t="s">
        <v>252</v>
      </c>
      <c r="B194" s="224"/>
      <c r="C194" s="224"/>
      <c r="D194" s="224"/>
      <c r="E194" s="225"/>
      <c r="F194" s="226"/>
      <c r="G194" s="226"/>
      <c r="H194" s="238">
        <f>H21+H48+H62+H77+H142+H193</f>
        <v>1699.257935</v>
      </c>
      <c r="I194" s="238"/>
      <c r="J194" s="249"/>
      <c r="K194" s="250"/>
      <c r="L194" s="238">
        <f>L21+L48+L62+L77+L142+L193</f>
        <v>9736.980000000001</v>
      </c>
      <c r="M194" s="274">
        <f>M21+M48+M62+M77+M142+M193</f>
        <v>1914.1687500000003</v>
      </c>
      <c r="N194" s="238"/>
      <c r="O194" s="238">
        <f>O21+O48+O62+O77+O142+O193</f>
        <v>7118.348749999998</v>
      </c>
      <c r="P194" s="238">
        <f>P21+P48+P62+P77+P142+P193</f>
        <v>18554.586685000002</v>
      </c>
      <c r="Q194" s="238"/>
      <c r="R194" s="60"/>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row>
    <row r="195" spans="1:17" s="169" customFormat="1" ht="9.75">
      <c r="A195" s="255" t="s">
        <v>23</v>
      </c>
      <c r="E195" s="116"/>
      <c r="F195" s="117"/>
      <c r="G195" s="114"/>
      <c r="H195" s="114"/>
      <c r="I195" s="114"/>
      <c r="J195" s="115"/>
      <c r="K195" s="116"/>
      <c r="L195" s="114"/>
      <c r="M195" s="117"/>
      <c r="N195" s="118"/>
      <c r="O195" s="168"/>
      <c r="P195" s="168"/>
      <c r="Q195" s="251" t="s">
        <v>21</v>
      </c>
    </row>
    <row r="196" spans="2:16" s="169" customFormat="1" ht="9.75" outlineLevel="1">
      <c r="B196" s="116" t="s">
        <v>19</v>
      </c>
      <c r="E196" s="116" t="s">
        <v>2</v>
      </c>
      <c r="F196" s="117"/>
      <c r="G196" s="114"/>
      <c r="H196" s="114"/>
      <c r="I196" s="372">
        <v>16</v>
      </c>
      <c r="J196" s="115" t="s">
        <v>67</v>
      </c>
      <c r="K196" s="116">
        <v>1</v>
      </c>
      <c r="L196" s="114">
        <f aca="true" t="shared" si="17" ref="L196:L202">$I196*K196</f>
        <v>16</v>
      </c>
      <c r="M196" s="117"/>
      <c r="N196" s="118"/>
      <c r="O196" s="168"/>
      <c r="P196" s="198">
        <f aca="true" t="shared" si="18" ref="P196:P202">O196+L196+H196</f>
        <v>16</v>
      </c>
    </row>
    <row r="197" spans="2:16" s="169" customFormat="1" ht="9.75" outlineLevel="1">
      <c r="B197" s="116" t="s">
        <v>20</v>
      </c>
      <c r="E197" s="116" t="s">
        <v>2</v>
      </c>
      <c r="F197" s="117"/>
      <c r="G197" s="114"/>
      <c r="H197" s="114"/>
      <c r="I197" s="372">
        <v>100</v>
      </c>
      <c r="J197" s="115" t="s">
        <v>67</v>
      </c>
      <c r="K197" s="116">
        <v>1</v>
      </c>
      <c r="L197" s="114">
        <f t="shared" si="17"/>
        <v>100</v>
      </c>
      <c r="M197" s="117"/>
      <c r="N197" s="118"/>
      <c r="O197" s="168"/>
      <c r="P197" s="198">
        <f t="shared" si="18"/>
        <v>100</v>
      </c>
    </row>
    <row r="198" spans="2:16" s="169" customFormat="1" ht="9.75" outlineLevel="1">
      <c r="B198" s="116" t="s">
        <v>22</v>
      </c>
      <c r="E198" s="116" t="s">
        <v>2</v>
      </c>
      <c r="F198" s="117"/>
      <c r="G198" s="114"/>
      <c r="H198" s="114"/>
      <c r="I198" s="372">
        <v>25</v>
      </c>
      <c r="J198" s="115" t="s">
        <v>67</v>
      </c>
      <c r="K198" s="116">
        <v>1</v>
      </c>
      <c r="L198" s="114">
        <f t="shared" si="17"/>
        <v>25</v>
      </c>
      <c r="M198" s="117"/>
      <c r="N198" s="118"/>
      <c r="O198" s="168"/>
      <c r="P198" s="198">
        <f t="shared" si="18"/>
        <v>25</v>
      </c>
    </row>
    <row r="199" spans="2:16" s="169" customFormat="1" ht="9.75" outlineLevel="1">
      <c r="B199" s="116" t="s">
        <v>357</v>
      </c>
      <c r="E199" s="116"/>
      <c r="F199" s="117"/>
      <c r="G199" s="114"/>
      <c r="H199" s="114"/>
      <c r="I199" s="372">
        <v>2000</v>
      </c>
      <c r="J199" s="115" t="s">
        <v>67</v>
      </c>
      <c r="K199" s="116">
        <v>1</v>
      </c>
      <c r="L199" s="114">
        <f t="shared" si="17"/>
        <v>2000</v>
      </c>
      <c r="M199" s="117"/>
      <c r="N199" s="118"/>
      <c r="O199" s="168"/>
      <c r="P199" s="198">
        <f t="shared" si="18"/>
        <v>2000</v>
      </c>
    </row>
    <row r="200" spans="2:16" s="169" customFormat="1" ht="9.75" outlineLevel="1">
      <c r="B200" s="116" t="s">
        <v>362</v>
      </c>
      <c r="E200" s="116"/>
      <c r="F200" s="117"/>
      <c r="G200" s="114"/>
      <c r="H200" s="114"/>
      <c r="I200" s="372">
        <v>1000</v>
      </c>
      <c r="J200" s="115" t="s">
        <v>67</v>
      </c>
      <c r="K200" s="116">
        <v>1</v>
      </c>
      <c r="L200" s="114">
        <f t="shared" si="17"/>
        <v>1000</v>
      </c>
      <c r="M200" s="117"/>
      <c r="N200" s="118"/>
      <c r="O200" s="168"/>
      <c r="P200" s="198">
        <f t="shared" si="18"/>
        <v>1000</v>
      </c>
    </row>
    <row r="201" spans="2:16" s="169" customFormat="1" ht="9.75" outlineLevel="1">
      <c r="B201" s="116" t="s">
        <v>363</v>
      </c>
      <c r="E201" s="116"/>
      <c r="F201" s="117"/>
      <c r="G201" s="114"/>
      <c r="H201" s="114"/>
      <c r="I201" s="372">
        <v>14</v>
      </c>
      <c r="J201" s="115" t="s">
        <v>364</v>
      </c>
      <c r="K201" s="116">
        <v>120</v>
      </c>
      <c r="L201" s="114">
        <f t="shared" si="17"/>
        <v>1680</v>
      </c>
      <c r="M201" s="117"/>
      <c r="N201" s="118"/>
      <c r="O201" s="168"/>
      <c r="P201" s="198">
        <f t="shared" si="18"/>
        <v>1680</v>
      </c>
    </row>
    <row r="202" spans="2:16" s="169" customFormat="1" ht="9.75" outlineLevel="1">
      <c r="B202" s="169" t="s">
        <v>333</v>
      </c>
      <c r="E202" s="116"/>
      <c r="F202" s="117"/>
      <c r="G202" s="114"/>
      <c r="H202" s="114"/>
      <c r="I202" s="372">
        <v>0</v>
      </c>
      <c r="J202" s="115" t="s">
        <v>67</v>
      </c>
      <c r="K202" s="116">
        <v>1</v>
      </c>
      <c r="L202" s="114">
        <f t="shared" si="17"/>
        <v>0</v>
      </c>
      <c r="M202" s="117"/>
      <c r="N202" s="118"/>
      <c r="O202" s="168"/>
      <c r="P202" s="198">
        <f t="shared" si="18"/>
        <v>0</v>
      </c>
    </row>
    <row r="203" spans="1:144" s="227" customFormat="1" ht="9.75">
      <c r="A203" s="227" t="s">
        <v>24</v>
      </c>
      <c r="E203" s="228"/>
      <c r="F203" s="256"/>
      <c r="G203" s="257"/>
      <c r="H203" s="257"/>
      <c r="I203" s="257"/>
      <c r="J203" s="256"/>
      <c r="K203" s="256"/>
      <c r="L203" s="257">
        <f>SUM(L196:L202)</f>
        <v>4821</v>
      </c>
      <c r="M203" s="256"/>
      <c r="N203" s="256"/>
      <c r="O203" s="258"/>
      <c r="P203" s="258">
        <f>SUM(P196:P202)</f>
        <v>4821</v>
      </c>
      <c r="Q203" s="233">
        <f>Q193+P203</f>
        <v>23375.586685000002</v>
      </c>
      <c r="R203" s="335"/>
      <c r="S203" s="335"/>
      <c r="T203" s="335"/>
      <c r="U203" s="335"/>
      <c r="V203" s="335"/>
      <c r="W203" s="335"/>
      <c r="X203" s="335"/>
      <c r="Y203" s="335"/>
      <c r="Z203" s="335"/>
      <c r="AA203" s="335"/>
      <c r="AB203" s="335"/>
      <c r="AC203" s="335"/>
      <c r="AD203" s="335"/>
      <c r="AE203" s="335"/>
      <c r="AF203" s="335"/>
      <c r="AG203" s="335"/>
      <c r="AH203" s="335"/>
      <c r="AI203" s="335"/>
      <c r="AJ203" s="335"/>
      <c r="AK203" s="335"/>
      <c r="AL203" s="335"/>
      <c r="AM203" s="335"/>
      <c r="AN203" s="335"/>
      <c r="AO203" s="335"/>
      <c r="AP203" s="335"/>
      <c r="AQ203" s="335"/>
      <c r="AR203" s="335"/>
      <c r="AS203" s="335"/>
      <c r="AT203" s="335"/>
      <c r="AU203" s="335"/>
      <c r="AV203" s="335"/>
      <c r="AW203" s="335"/>
      <c r="AX203" s="335"/>
      <c r="AY203" s="335"/>
      <c r="AZ203" s="335"/>
      <c r="BA203" s="335"/>
      <c r="BB203" s="335"/>
      <c r="BC203" s="335"/>
      <c r="BD203" s="335"/>
      <c r="BE203" s="335"/>
      <c r="BF203" s="335"/>
      <c r="BG203" s="335"/>
      <c r="BH203" s="335"/>
      <c r="BI203" s="335"/>
      <c r="BJ203" s="335"/>
      <c r="BK203" s="335"/>
      <c r="BL203" s="335"/>
      <c r="BM203" s="335"/>
      <c r="BN203" s="335"/>
      <c r="BO203" s="335"/>
      <c r="BP203" s="335"/>
      <c r="BQ203" s="335"/>
      <c r="BR203" s="335"/>
      <c r="BS203" s="335"/>
      <c r="BT203" s="335"/>
      <c r="BU203" s="335"/>
      <c r="BV203" s="335"/>
      <c r="BW203" s="335"/>
      <c r="BX203" s="335"/>
      <c r="BY203" s="335"/>
      <c r="BZ203" s="335"/>
      <c r="CA203" s="335"/>
      <c r="CB203" s="335"/>
      <c r="CC203" s="335"/>
      <c r="CD203" s="335"/>
      <c r="CE203" s="335"/>
      <c r="CF203" s="335"/>
      <c r="CG203" s="335"/>
      <c r="CH203" s="335"/>
      <c r="CI203" s="335"/>
      <c r="CJ203" s="335"/>
      <c r="CK203" s="335"/>
      <c r="CL203" s="335"/>
      <c r="CM203" s="335"/>
      <c r="CN203" s="335"/>
      <c r="CO203" s="335"/>
      <c r="CP203" s="335"/>
      <c r="CQ203" s="335"/>
      <c r="CR203" s="335"/>
      <c r="CS203" s="335"/>
      <c r="CT203" s="335"/>
      <c r="CU203" s="335"/>
      <c r="CV203" s="335"/>
      <c r="CW203" s="335"/>
      <c r="CX203" s="335"/>
      <c r="CY203" s="335"/>
      <c r="CZ203" s="335"/>
      <c r="DA203" s="335"/>
      <c r="DB203" s="335"/>
      <c r="DC203" s="335"/>
      <c r="DD203" s="335"/>
      <c r="DE203" s="335"/>
      <c r="DF203" s="335"/>
      <c r="DG203" s="335"/>
      <c r="DH203" s="335"/>
      <c r="DI203" s="335"/>
      <c r="DJ203" s="335"/>
      <c r="DK203" s="335"/>
      <c r="DL203" s="335"/>
      <c r="DM203" s="335"/>
      <c r="DN203" s="335"/>
      <c r="DO203" s="335"/>
      <c r="DP203" s="335"/>
      <c r="DQ203" s="335"/>
      <c r="DR203" s="335"/>
      <c r="DS203" s="335"/>
      <c r="DT203" s="335"/>
      <c r="DU203" s="335"/>
      <c r="DV203" s="335"/>
      <c r="DW203" s="335"/>
      <c r="DX203" s="335"/>
      <c r="DY203" s="335"/>
      <c r="DZ203" s="335"/>
      <c r="EA203" s="335"/>
      <c r="EB203" s="335"/>
      <c r="EC203" s="335"/>
      <c r="ED203" s="335"/>
      <c r="EE203" s="335"/>
      <c r="EF203" s="335"/>
      <c r="EG203" s="335"/>
      <c r="EH203" s="335"/>
      <c r="EI203" s="335"/>
      <c r="EJ203" s="335"/>
      <c r="EK203" s="335"/>
      <c r="EL203" s="335"/>
      <c r="EM203" s="335"/>
      <c r="EN203" s="335"/>
    </row>
    <row r="204" spans="5:17" s="169" customFormat="1" ht="9.75">
      <c r="E204" s="116"/>
      <c r="F204" s="252"/>
      <c r="G204" s="253"/>
      <c r="H204" s="253"/>
      <c r="I204" s="253"/>
      <c r="J204" s="252"/>
      <c r="K204" s="252"/>
      <c r="L204" s="253"/>
      <c r="M204" s="252"/>
      <c r="N204" s="252"/>
      <c r="O204" s="254"/>
      <c r="P204" s="254"/>
      <c r="Q204" s="254"/>
    </row>
    <row r="205" spans="1:18" ht="12">
      <c r="A205"/>
      <c r="B205"/>
      <c r="C205"/>
      <c r="D205"/>
      <c r="E205" s="5"/>
      <c r="F205" s="56"/>
      <c r="G205" s="56"/>
      <c r="H205"/>
      <c r="I205" s="33"/>
      <c r="J205" s="132" t="s">
        <v>182</v>
      </c>
      <c r="K205" s="5"/>
      <c r="L205" s="33"/>
      <c r="M205" s="56"/>
      <c r="N205" s="33"/>
      <c r="O205" s="33"/>
      <c r="P205" s="208">
        <f>Q203</f>
        <v>23375.586685000002</v>
      </c>
      <c r="Q205" s="178"/>
      <c r="R205" s="60"/>
    </row>
    <row r="206" spans="1:18" ht="12">
      <c r="A206"/>
      <c r="B206"/>
      <c r="C206"/>
      <c r="D206"/>
      <c r="E206" s="5"/>
      <c r="F206" s="56"/>
      <c r="G206" s="56"/>
      <c r="H206"/>
      <c r="I206" s="33"/>
      <c r="J206" s="11"/>
      <c r="K206" s="5"/>
      <c r="L206" s="33"/>
      <c r="M206" s="56"/>
      <c r="N206" s="33"/>
      <c r="O206" s="33"/>
      <c r="P206" s="62"/>
      <c r="Q206" s="178"/>
      <c r="R206" s="60"/>
    </row>
    <row r="207" spans="1:18" ht="12">
      <c r="A207"/>
      <c r="B207"/>
      <c r="C207"/>
      <c r="D207"/>
      <c r="E207" s="5"/>
      <c r="F207" s="56"/>
      <c r="G207" s="56"/>
      <c r="H207"/>
      <c r="I207" s="33"/>
      <c r="J207" s="11"/>
      <c r="K207" s="5"/>
      <c r="L207" s="33"/>
      <c r="M207" s="56"/>
      <c r="N207" s="33"/>
      <c r="O207" s="33"/>
      <c r="P207" s="62"/>
      <c r="Q207" s="178"/>
      <c r="R207" s="60"/>
    </row>
    <row r="208" spans="1:18" ht="12">
      <c r="A208"/>
      <c r="B208"/>
      <c r="C208"/>
      <c r="D208"/>
      <c r="E208" s="5"/>
      <c r="F208" s="56"/>
      <c r="G208" s="56"/>
      <c r="H208"/>
      <c r="I208" s="33"/>
      <c r="J208" s="11"/>
      <c r="K208" s="5"/>
      <c r="L208" s="33"/>
      <c r="M208" s="56"/>
      <c r="N208" s="33"/>
      <c r="O208" s="33"/>
      <c r="P208" s="62"/>
      <c r="Q208" s="178"/>
      <c r="R208" s="60"/>
    </row>
    <row r="209" spans="1:18" ht="12">
      <c r="A209"/>
      <c r="B209"/>
      <c r="C209"/>
      <c r="D209"/>
      <c r="E209" s="5"/>
      <c r="F209" s="56"/>
      <c r="G209" s="56"/>
      <c r="H209"/>
      <c r="I209" s="33"/>
      <c r="J209" s="11"/>
      <c r="K209" s="5"/>
      <c r="L209" s="33"/>
      <c r="M209" s="56"/>
      <c r="N209" s="33"/>
      <c r="O209" s="33"/>
      <c r="P209" s="62"/>
      <c r="Q209" s="178"/>
      <c r="R209" s="60"/>
    </row>
    <row r="210" spans="1:18" ht="12">
      <c r="A210"/>
      <c r="B210"/>
      <c r="C210"/>
      <c r="D210"/>
      <c r="E210" s="5"/>
      <c r="F210" s="56"/>
      <c r="G210" s="56"/>
      <c r="H210"/>
      <c r="I210" s="33"/>
      <c r="J210" s="11"/>
      <c r="K210" s="5"/>
      <c r="L210" s="33"/>
      <c r="M210" s="56"/>
      <c r="N210" s="33"/>
      <c r="O210" s="33"/>
      <c r="P210" s="62"/>
      <c r="Q210" s="178"/>
      <c r="R210" s="60"/>
    </row>
  </sheetData>
  <sheetProtection password="ECAF" sheet="1" selectLockedCells="1"/>
  <printOptions/>
  <pageMargins left="0.76" right="0.75" top="0.5" bottom="0.25" header="0.5" footer="0.16"/>
  <pageSetup fitToHeight="0" fitToWidth="1" horizontalDpi="600" verticalDpi="600" orientation="landscape" scale="7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NCSU-ARE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TestGrad</dc:creator>
  <cp:keywords/>
  <dc:description/>
  <cp:lastModifiedBy>Gina Fernandez</cp:lastModifiedBy>
  <cp:lastPrinted>2013-03-15T17:22:44Z</cp:lastPrinted>
  <dcterms:created xsi:type="dcterms:W3CDTF">2003-02-23T22:21:50Z</dcterms:created>
  <dcterms:modified xsi:type="dcterms:W3CDTF">2015-03-30T01:46:29Z</dcterms:modified>
  <cp:category/>
  <cp:version/>
  <cp:contentType/>
  <cp:contentStatus/>
</cp:coreProperties>
</file>