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65" yWindow="0" windowWidth="25605" windowHeight="14475" tabRatio="730" activeTab="1"/>
  </bookViews>
  <sheets>
    <sheet name="HOCover" sheetId="28" r:id="rId1"/>
    <sheet name="HOAssumptions" sheetId="27" r:id="rId2"/>
    <sheet name="HOPrep" sheetId="16" r:id="rId3"/>
    <sheet name="HOYear1" sheetId="20" r:id="rId4"/>
    <sheet name="HOYear2" sheetId="24" r:id="rId5"/>
    <sheet name="HOYear3" sheetId="17" r:id="rId6"/>
    <sheet name="HOSummary" sheetId="19" r:id="rId7"/>
    <sheet name="HOLabor" sheetId="21" r:id="rId8"/>
    <sheet name="HOReturns" sheetId="23" r:id="rId9"/>
    <sheet name="HOInvest" sheetId="22" r:id="rId10"/>
    <sheet name="Machinery" sheetId="11" r:id="rId11"/>
    <sheet name="Materials" sheetId="10" r:id="rId12"/>
    <sheet name="Yields" sheetId="26" r:id="rId13"/>
    <sheet name="Labor" sheetId="15" r:id="rId14"/>
    <sheet name="Year0" sheetId="1" r:id="rId15"/>
    <sheet name="Year1" sheetId="2" r:id="rId16"/>
    <sheet name="Year2" sheetId="3" r:id="rId17"/>
    <sheet name="Year3" sheetId="4" r:id="rId18"/>
    <sheet name="SummaryCosts" sheetId="6" r:id="rId19"/>
    <sheet name="SensitivityAnalysis" sheetId="9" r:id="rId20"/>
    <sheet name="InvestmentAnalysis" sheetId="7" r:id="rId21"/>
    <sheet name="Trellis Labor" sheetId="38" state="hidden" r:id="rId22"/>
    <sheet name="Trellis Equipment" sheetId="39" state="hidden" r:id="rId23"/>
    <sheet name="Trellis Materials " sheetId="40" state="hidden" r:id="rId24"/>
    <sheet name="Trellis Total Costs " sheetId="41" state="hidden" r:id="rId25"/>
  </sheets>
  <definedNames>
    <definedName name="_xlnm.Print_Area" localSheetId="1">HOAssumptions!$A$1:$I$76</definedName>
    <definedName name="_xlnm.Print_Area" localSheetId="7">HOLabor!$B$1:$J$51</definedName>
    <definedName name="_xlnm.Print_Area" localSheetId="8">HOReturns!$A$1:$I$48</definedName>
    <definedName name="_xlnm.Print_Area" localSheetId="4">HOYear2!$A$1:$J$199</definedName>
    <definedName name="_xlnm.Print_Area" localSheetId="20">InvestmentAnalysis!$A$1:$O$52</definedName>
    <definedName name="_xlnm.Print_Area" localSheetId="10">Machinery!$A$1:$U$36</definedName>
    <definedName name="_xlnm.Print_Area" localSheetId="11">Materials!$A$1:$J$106</definedName>
    <definedName name="_xlnm.Print_Area" localSheetId="19">SensitivityAnalysis!$A$1:$R$98</definedName>
    <definedName name="_xlnm.Print_Area" localSheetId="18">SummaryCosts!$A$1:$H$76</definedName>
    <definedName name="_xlnm.Print_Area" localSheetId="24">'Trellis Total Costs '!$A$1:$O$107</definedName>
    <definedName name="_xlnm.Print_Area" localSheetId="14">Year0!$A$1:$R$55</definedName>
    <definedName name="_xlnm.Print_Area" localSheetId="15">Year1!$A$1:$R$89</definedName>
    <definedName name="_xlnm.Print_Area" localSheetId="16">Year2!$A$1:$S$182</definedName>
    <definedName name="_xlnm.Print_Area" localSheetId="17">Year3!$A$1:$R$182</definedName>
  </definedNames>
  <calcPr calcId="125725" concurrentCalc="0"/>
</workbook>
</file>

<file path=xl/calcChain.xml><?xml version="1.0" encoding="utf-8"?>
<calcChain xmlns="http://schemas.openxmlformats.org/spreadsheetml/2006/main">
  <c r="E83" i="10"/>
  <c r="F83"/>
  <c r="E71"/>
  <c r="F71"/>
  <c r="J53" i="2"/>
  <c r="M53"/>
  <c r="Q53"/>
  <c r="J55"/>
  <c r="M55"/>
  <c r="Q55"/>
  <c r="J59"/>
  <c r="M59"/>
  <c r="Q59"/>
  <c r="B67" i="27"/>
  <c r="O5" i="11"/>
  <c r="N5"/>
  <c r="P5"/>
  <c r="T5"/>
  <c r="D5"/>
  <c r="J5"/>
  <c r="K5"/>
  <c r="L5"/>
  <c r="M5"/>
  <c r="S5"/>
  <c r="U5"/>
  <c r="D9"/>
  <c r="J9"/>
  <c r="K9"/>
  <c r="L9"/>
  <c r="M9"/>
  <c r="S9"/>
  <c r="N9"/>
  <c r="P9"/>
  <c r="T9"/>
  <c r="U9"/>
  <c r="H56" i="2"/>
  <c r="I56"/>
  <c r="D63" i="15"/>
  <c r="F63"/>
  <c r="I63"/>
  <c r="I65"/>
  <c r="I66"/>
  <c r="I69"/>
  <c r="I70"/>
  <c r="I73"/>
  <c r="I75"/>
  <c r="I87"/>
  <c r="I98"/>
  <c r="I99"/>
  <c r="G101"/>
  <c r="G102"/>
  <c r="G103"/>
  <c r="G104"/>
  <c r="G105"/>
  <c r="I107"/>
  <c r="O56" i="2"/>
  <c r="N56"/>
  <c r="P56"/>
  <c r="Q56"/>
  <c r="O54"/>
  <c r="P54"/>
  <c r="M7" i="11"/>
  <c r="S7"/>
  <c r="N7"/>
  <c r="P7"/>
  <c r="T7"/>
  <c r="U7"/>
  <c r="H54" i="2"/>
  <c r="I54"/>
  <c r="Q54"/>
  <c r="O58"/>
  <c r="P58"/>
  <c r="H58"/>
  <c r="I58"/>
  <c r="Q58"/>
  <c r="O57"/>
  <c r="N57"/>
  <c r="P57"/>
  <c r="J19" i="11"/>
  <c r="K19"/>
  <c r="L19"/>
  <c r="M19"/>
  <c r="S19"/>
  <c r="N19"/>
  <c r="P19"/>
  <c r="T19"/>
  <c r="U19"/>
  <c r="D17"/>
  <c r="J17"/>
  <c r="K17"/>
  <c r="L17"/>
  <c r="M17"/>
  <c r="S17"/>
  <c r="N17"/>
  <c r="P17"/>
  <c r="T17"/>
  <c r="U17"/>
  <c r="D18"/>
  <c r="J18"/>
  <c r="K18"/>
  <c r="L18"/>
  <c r="M18"/>
  <c r="S18"/>
  <c r="N18"/>
  <c r="P18"/>
  <c r="T18"/>
  <c r="U18"/>
  <c r="H45" i="2"/>
  <c r="H50"/>
  <c r="H57"/>
  <c r="I57"/>
  <c r="Q57"/>
  <c r="O61"/>
  <c r="P61"/>
  <c r="Q61"/>
  <c r="Q62"/>
  <c r="P62"/>
  <c r="L91" i="41"/>
  <c r="N40" i="1"/>
  <c r="C8" i="38"/>
  <c r="H8"/>
  <c r="H10"/>
  <c r="H11"/>
  <c r="H14"/>
  <c r="H15"/>
  <c r="H18"/>
  <c r="H20"/>
  <c r="H32"/>
  <c r="H43"/>
  <c r="H44"/>
  <c r="F46"/>
  <c r="F47"/>
  <c r="F48"/>
  <c r="F49"/>
  <c r="F50"/>
  <c r="H52"/>
  <c r="O40" i="1"/>
  <c r="P40"/>
  <c r="F5" i="39"/>
  <c r="D12"/>
  <c r="E12"/>
  <c r="F12"/>
  <c r="G12"/>
  <c r="H12"/>
  <c r="D18"/>
  <c r="E18"/>
  <c r="G18"/>
  <c r="H18"/>
  <c r="D15"/>
  <c r="E15"/>
  <c r="F15"/>
  <c r="G15"/>
  <c r="H15"/>
  <c r="D21"/>
  <c r="G21"/>
  <c r="H21"/>
  <c r="F86" i="41"/>
  <c r="G86"/>
  <c r="D14" i="39"/>
  <c r="E14"/>
  <c r="F14"/>
  <c r="G14"/>
  <c r="H14"/>
  <c r="D20"/>
  <c r="E20"/>
  <c r="G20"/>
  <c r="H20"/>
  <c r="F88" i="41"/>
  <c r="G88"/>
  <c r="D13" i="39"/>
  <c r="E13"/>
  <c r="F13"/>
  <c r="G13"/>
  <c r="H13"/>
  <c r="D19"/>
  <c r="E19"/>
  <c r="G19"/>
  <c r="H19"/>
  <c r="F90" i="41"/>
  <c r="G90"/>
  <c r="G91"/>
  <c r="I40" i="1"/>
  <c r="Q40"/>
  <c r="I41"/>
  <c r="F91" i="41"/>
  <c r="E91"/>
  <c r="F68"/>
  <c r="F69"/>
  <c r="E69"/>
  <c r="F47"/>
  <c r="F49"/>
  <c r="F51"/>
  <c r="F52"/>
  <c r="E52"/>
  <c r="F30"/>
  <c r="F31"/>
  <c r="E31"/>
  <c r="L101"/>
  <c r="L96"/>
  <c r="L75"/>
  <c r="L72"/>
  <c r="L69"/>
  <c r="L58"/>
  <c r="L55"/>
  <c r="L52"/>
  <c r="L37"/>
  <c r="L34"/>
  <c r="L31"/>
  <c r="D9" i="15"/>
  <c r="F9"/>
  <c r="I9"/>
  <c r="I11"/>
  <c r="I12"/>
  <c r="I15"/>
  <c r="I16"/>
  <c r="I19"/>
  <c r="I21"/>
  <c r="I33"/>
  <c r="I44"/>
  <c r="I45"/>
  <c r="G47"/>
  <c r="G48"/>
  <c r="G49"/>
  <c r="G50"/>
  <c r="G51"/>
  <c r="I53"/>
  <c r="O38" i="1"/>
  <c r="O39"/>
  <c r="O41"/>
  <c r="P38"/>
  <c r="P39"/>
  <c r="P41"/>
  <c r="E30" i="40"/>
  <c r="E43" i="10"/>
  <c r="E31" i="40"/>
  <c r="E44" i="10"/>
  <c r="E32" i="40"/>
  <c r="E45" i="10"/>
  <c r="D33" i="40"/>
  <c r="E33"/>
  <c r="E46" i="10"/>
  <c r="D34" i="40"/>
  <c r="E34"/>
  <c r="E47" i="10"/>
  <c r="D35" i="40"/>
  <c r="E35"/>
  <c r="E48" i="10"/>
  <c r="D36" i="40"/>
  <c r="E36"/>
  <c r="E49" i="10"/>
  <c r="D37" i="40"/>
  <c r="E37"/>
  <c r="E50" i="10"/>
  <c r="E38" i="40"/>
  <c r="E51" i="10"/>
  <c r="D39" i="40"/>
  <c r="E39"/>
  <c r="E52" i="10"/>
  <c r="D40" i="40"/>
  <c r="E40"/>
  <c r="E53" i="10"/>
  <c r="E41" i="40"/>
  <c r="E54" i="10"/>
  <c r="D42" i="40"/>
  <c r="E42"/>
  <c r="E55" i="10"/>
  <c r="E43" i="40"/>
  <c r="E56" i="10"/>
  <c r="E44" i="40"/>
  <c r="E57" i="10"/>
  <c r="D45" i="40"/>
  <c r="E45"/>
  <c r="E58" i="10"/>
  <c r="E59"/>
  <c r="J39" i="1"/>
  <c r="M39"/>
  <c r="Q39"/>
  <c r="J37"/>
  <c r="M37"/>
  <c r="Q37"/>
  <c r="J38"/>
  <c r="M38"/>
  <c r="Q38"/>
  <c r="Q41"/>
  <c r="R41"/>
  <c r="N41"/>
  <c r="M41"/>
  <c r="F52" i="10"/>
  <c r="G52"/>
  <c r="F53"/>
  <c r="G53"/>
  <c r="F54"/>
  <c r="G54"/>
  <c r="F55"/>
  <c r="G55"/>
  <c r="F56"/>
  <c r="G56"/>
  <c r="F57"/>
  <c r="G57"/>
  <c r="F58"/>
  <c r="G58"/>
  <c r="F44"/>
  <c r="G44"/>
  <c r="F45"/>
  <c r="G45"/>
  <c r="F46"/>
  <c r="G46"/>
  <c r="F47"/>
  <c r="G47"/>
  <c r="F48"/>
  <c r="G48"/>
  <c r="F49"/>
  <c r="G49"/>
  <c r="F50"/>
  <c r="G50"/>
  <c r="F51"/>
  <c r="G51"/>
  <c r="F43"/>
  <c r="G43"/>
  <c r="D44"/>
  <c r="D45"/>
  <c r="D46"/>
  <c r="D47"/>
  <c r="D48"/>
  <c r="D49"/>
  <c r="D50"/>
  <c r="D51"/>
  <c r="D52"/>
  <c r="D53"/>
  <c r="D54"/>
  <c r="D55"/>
  <c r="D56"/>
  <c r="D57"/>
  <c r="D58"/>
  <c r="D43"/>
  <c r="F59"/>
  <c r="C50"/>
  <c r="C51"/>
  <c r="C52"/>
  <c r="C53"/>
  <c r="C54"/>
  <c r="C55"/>
  <c r="C56"/>
  <c r="C57"/>
  <c r="C58"/>
  <c r="B50"/>
  <c r="B51"/>
  <c r="B52"/>
  <c r="B53"/>
  <c r="B54"/>
  <c r="B55"/>
  <c r="B56"/>
  <c r="B57"/>
  <c r="B58"/>
  <c r="A50"/>
  <c r="A51"/>
  <c r="A52"/>
  <c r="A53"/>
  <c r="A54"/>
  <c r="A55"/>
  <c r="A56"/>
  <c r="A57"/>
  <c r="A58"/>
  <c r="B49"/>
  <c r="C49"/>
  <c r="A49"/>
  <c r="B47"/>
  <c r="B48"/>
  <c r="C47"/>
  <c r="C48"/>
  <c r="A48"/>
  <c r="A47"/>
  <c r="B46"/>
  <c r="C46"/>
  <c r="A46"/>
  <c r="A44"/>
  <c r="A45"/>
  <c r="A43"/>
  <c r="B44"/>
  <c r="C44"/>
  <c r="B45"/>
  <c r="C45"/>
  <c r="C43"/>
  <c r="B43"/>
  <c r="A42"/>
  <c r="M98" i="41"/>
  <c r="N98"/>
  <c r="O98"/>
  <c r="M99"/>
  <c r="N99"/>
  <c r="O99"/>
  <c r="M100"/>
  <c r="N100"/>
  <c r="O100"/>
  <c r="O101"/>
  <c r="M93"/>
  <c r="N93"/>
  <c r="O93"/>
  <c r="M94"/>
  <c r="N94"/>
  <c r="O94"/>
  <c r="M95"/>
  <c r="N95"/>
  <c r="O95"/>
  <c r="O96"/>
  <c r="M83"/>
  <c r="N83"/>
  <c r="E46" i="40"/>
  <c r="H83" i="41"/>
  <c r="K83"/>
  <c r="O83"/>
  <c r="M84"/>
  <c r="N84"/>
  <c r="O84"/>
  <c r="M85"/>
  <c r="N85"/>
  <c r="O85"/>
  <c r="O86"/>
  <c r="M87"/>
  <c r="N87"/>
  <c r="O87"/>
  <c r="O88"/>
  <c r="M89"/>
  <c r="N89"/>
  <c r="O89"/>
  <c r="M90"/>
  <c r="N90"/>
  <c r="O90"/>
  <c r="O91"/>
  <c r="O102"/>
  <c r="N101"/>
  <c r="N96"/>
  <c r="N91"/>
  <c r="N102"/>
  <c r="K96"/>
  <c r="K91"/>
  <c r="K102"/>
  <c r="G101"/>
  <c r="G96"/>
  <c r="G102"/>
  <c r="M74"/>
  <c r="N74"/>
  <c r="O74"/>
  <c r="O75"/>
  <c r="M71"/>
  <c r="N71"/>
  <c r="O71"/>
  <c r="O72"/>
  <c r="M64"/>
  <c r="N64"/>
  <c r="E24" i="40"/>
  <c r="E25"/>
  <c r="E26"/>
  <c r="E27"/>
  <c r="H64" i="41"/>
  <c r="K64"/>
  <c r="O64"/>
  <c r="M66"/>
  <c r="N66"/>
  <c r="O66"/>
  <c r="M67"/>
  <c r="N67"/>
  <c r="O67"/>
  <c r="G68"/>
  <c r="M68"/>
  <c r="N68"/>
  <c r="O68"/>
  <c r="O69"/>
  <c r="O76"/>
  <c r="N75"/>
  <c r="N72"/>
  <c r="N69"/>
  <c r="N76"/>
  <c r="K75"/>
  <c r="K72"/>
  <c r="K69"/>
  <c r="K76"/>
  <c r="G75"/>
  <c r="G72"/>
  <c r="G69"/>
  <c r="G76"/>
  <c r="M65"/>
  <c r="M57"/>
  <c r="N57"/>
  <c r="O57"/>
  <c r="O58"/>
  <c r="M54"/>
  <c r="N54"/>
  <c r="O54"/>
  <c r="O55"/>
  <c r="E14" i="40"/>
  <c r="E15"/>
  <c r="E16"/>
  <c r="E17"/>
  <c r="E18"/>
  <c r="E19"/>
  <c r="E20"/>
  <c r="H43" i="41"/>
  <c r="K43"/>
  <c r="M43"/>
  <c r="N43"/>
  <c r="O43"/>
  <c r="M44"/>
  <c r="N44"/>
  <c r="O44"/>
  <c r="M45"/>
  <c r="N45"/>
  <c r="O45"/>
  <c r="M46"/>
  <c r="N46"/>
  <c r="O46"/>
  <c r="G47"/>
  <c r="O47"/>
  <c r="M48"/>
  <c r="N48"/>
  <c r="O48"/>
  <c r="G49"/>
  <c r="O49"/>
  <c r="M50"/>
  <c r="N50"/>
  <c r="O50"/>
  <c r="G51"/>
  <c r="M51"/>
  <c r="N51"/>
  <c r="O51"/>
  <c r="O52"/>
  <c r="O59"/>
  <c r="N58"/>
  <c r="N55"/>
  <c r="N52"/>
  <c r="N59"/>
  <c r="K58"/>
  <c r="K55"/>
  <c r="K52"/>
  <c r="K59"/>
  <c r="G58"/>
  <c r="G55"/>
  <c r="G52"/>
  <c r="G59"/>
  <c r="M36"/>
  <c r="N36"/>
  <c r="O36"/>
  <c r="O37"/>
  <c r="M33"/>
  <c r="N33"/>
  <c r="O33"/>
  <c r="O34"/>
  <c r="E7" i="40"/>
  <c r="E8"/>
  <c r="E9"/>
  <c r="E10"/>
  <c r="E11"/>
  <c r="H26" i="41"/>
  <c r="K26"/>
  <c r="M26"/>
  <c r="N26"/>
  <c r="O26"/>
  <c r="M27"/>
  <c r="N27"/>
  <c r="O27"/>
  <c r="M28"/>
  <c r="N28"/>
  <c r="O28"/>
  <c r="M29"/>
  <c r="N29"/>
  <c r="O29"/>
  <c r="G30"/>
  <c r="M30"/>
  <c r="N30"/>
  <c r="O30"/>
  <c r="O31"/>
  <c r="O38"/>
  <c r="N37"/>
  <c r="N34"/>
  <c r="N31"/>
  <c r="N38"/>
  <c r="K37"/>
  <c r="K34"/>
  <c r="K31"/>
  <c r="K38"/>
  <c r="G37"/>
  <c r="G34"/>
  <c r="G31"/>
  <c r="G38"/>
  <c r="N15"/>
  <c r="N16"/>
  <c r="N17"/>
  <c r="N18"/>
  <c r="M15"/>
  <c r="M16"/>
  <c r="M17"/>
  <c r="M18"/>
  <c r="L15"/>
  <c r="L16"/>
  <c r="L17"/>
  <c r="L18"/>
  <c r="K15"/>
  <c r="K16"/>
  <c r="K17"/>
  <c r="K18"/>
  <c r="F15"/>
  <c r="F16"/>
  <c r="F17"/>
  <c r="F18"/>
  <c r="E15"/>
  <c r="E16"/>
  <c r="E17"/>
  <c r="E18"/>
  <c r="D15"/>
  <c r="D16"/>
  <c r="D17"/>
  <c r="D18"/>
  <c r="C15"/>
  <c r="C16"/>
  <c r="C17"/>
  <c r="C18"/>
  <c r="N6"/>
  <c r="N7"/>
  <c r="N8"/>
  <c r="N9"/>
  <c r="M6"/>
  <c r="M7"/>
  <c r="M8"/>
  <c r="M9"/>
  <c r="L6"/>
  <c r="L7"/>
  <c r="L8"/>
  <c r="L9"/>
  <c r="K6"/>
  <c r="K7"/>
  <c r="K8"/>
  <c r="K9"/>
  <c r="F6"/>
  <c r="F7"/>
  <c r="F8"/>
  <c r="F9"/>
  <c r="E6"/>
  <c r="E7"/>
  <c r="E8"/>
  <c r="E9"/>
  <c r="D6"/>
  <c r="D7"/>
  <c r="D8"/>
  <c r="D9"/>
  <c r="C6"/>
  <c r="C7"/>
  <c r="C8"/>
  <c r="C9"/>
  <c r="F21" i="39"/>
  <c r="F20"/>
  <c r="F19"/>
  <c r="F18"/>
  <c r="F82" i="10"/>
  <c r="E82"/>
  <c r="D78"/>
  <c r="E78"/>
  <c r="E79"/>
  <c r="F79"/>
  <c r="E80"/>
  <c r="F80"/>
  <c r="F78"/>
  <c r="E84"/>
  <c r="J10" i="1"/>
  <c r="D4" i="11"/>
  <c r="J4"/>
  <c r="O23"/>
  <c r="O4"/>
  <c r="B71" i="27"/>
  <c r="B69"/>
  <c r="G69"/>
  <c r="B68"/>
  <c r="G67"/>
  <c r="G70"/>
  <c r="G66"/>
  <c r="H66"/>
  <c r="I66"/>
  <c r="G68"/>
  <c r="H68"/>
  <c r="I68"/>
  <c r="H70"/>
  <c r="I70"/>
  <c r="G71"/>
  <c r="H71"/>
  <c r="I71"/>
  <c r="G191" i="17"/>
  <c r="G189"/>
  <c r="G188"/>
  <c r="G187"/>
  <c r="G194" i="24"/>
  <c r="G192"/>
  <c r="G191"/>
  <c r="G190"/>
  <c r="H26" i="26"/>
  <c r="H23"/>
  <c r="G5"/>
  <c r="F16"/>
  <c r="F12"/>
  <c r="D97" i="10"/>
  <c r="D96"/>
  <c r="D95"/>
  <c r="D94"/>
  <c r="D90"/>
  <c r="D88"/>
  <c r="F7" i="16"/>
  <c r="O93" i="4"/>
  <c r="K167"/>
  <c r="K162"/>
  <c r="K161"/>
  <c r="K160"/>
  <c r="K159"/>
  <c r="K158"/>
  <c r="K14" i="3"/>
  <c r="K168"/>
  <c r="K163"/>
  <c r="K162"/>
  <c r="K161"/>
  <c r="K160"/>
  <c r="K159"/>
  <c r="J86" i="2"/>
  <c r="J81"/>
  <c r="J80"/>
  <c r="J79"/>
  <c r="J78"/>
  <c r="J77"/>
  <c r="J51" i="1"/>
  <c r="J47"/>
  <c r="J46"/>
  <c r="J45"/>
  <c r="J44"/>
  <c r="J43"/>
  <c r="N17"/>
  <c r="H88" i="17"/>
  <c r="F88"/>
  <c r="E85" i="10"/>
  <c r="E76"/>
  <c r="F86"/>
  <c r="E86"/>
  <c r="K85" i="4"/>
  <c r="N85"/>
  <c r="E67" i="10"/>
  <c r="E66"/>
  <c r="O24" i="11"/>
  <c r="O16"/>
  <c r="O15"/>
  <c r="O14"/>
  <c r="S21"/>
  <c r="H19"/>
  <c r="I19"/>
  <c r="H11"/>
  <c r="I11"/>
  <c r="H10"/>
  <c r="I10"/>
  <c r="H8"/>
  <c r="I8"/>
  <c r="G134" i="17"/>
  <c r="F134"/>
  <c r="G120"/>
  <c r="F120"/>
  <c r="G137" i="24"/>
  <c r="F137"/>
  <c r="F123"/>
  <c r="G123"/>
  <c r="D11" i="23"/>
  <c r="D23"/>
  <c r="D9" i="17"/>
  <c r="D9" i="24"/>
  <c r="B47" i="7"/>
  <c r="B46"/>
  <c r="B45"/>
  <c r="B44"/>
  <c r="B43"/>
  <c r="B42"/>
  <c r="B41"/>
  <c r="B40"/>
  <c r="B39"/>
  <c r="E4" i="9"/>
  <c r="J47"/>
  <c r="B25" i="7"/>
  <c r="B24"/>
  <c r="B23"/>
  <c r="B22"/>
  <c r="B21"/>
  <c r="B20"/>
  <c r="F9"/>
  <c r="F10"/>
  <c r="B19"/>
  <c r="B18"/>
  <c r="B17"/>
  <c r="H23" i="9"/>
  <c r="E6"/>
  <c r="B19"/>
  <c r="E5"/>
  <c r="L47"/>
  <c r="F10" i="4"/>
  <c r="G9"/>
  <c r="N176"/>
  <c r="F10" i="3"/>
  <c r="G9"/>
  <c r="G16" i="26"/>
  <c r="G17"/>
  <c r="M11" i="4"/>
  <c r="E2" i="17"/>
  <c r="E7" i="9"/>
  <c r="G12" i="26"/>
  <c r="G13"/>
  <c r="G14"/>
  <c r="G6"/>
  <c r="D12" i="17"/>
  <c r="H24" i="26"/>
  <c r="H25"/>
  <c r="H24" i="9"/>
  <c r="F13" i="4"/>
  <c r="F13" i="3"/>
  <c r="D147" i="17"/>
  <c r="D145"/>
  <c r="D140"/>
  <c r="D138"/>
  <c r="D150" i="24"/>
  <c r="D148"/>
  <c r="D143"/>
  <c r="D141"/>
  <c r="D74" i="20"/>
  <c r="D70"/>
  <c r="D65"/>
  <c r="D61"/>
  <c r="H116" i="4"/>
  <c r="F148" i="17"/>
  <c r="F146"/>
  <c r="F141"/>
  <c r="H148"/>
  <c r="H146"/>
  <c r="H141"/>
  <c r="H139"/>
  <c r="F139"/>
  <c r="K139" i="4"/>
  <c r="K137"/>
  <c r="K132"/>
  <c r="N139"/>
  <c r="G148" i="17"/>
  <c r="R139" i="4"/>
  <c r="I148" i="17"/>
  <c r="N137" i="4"/>
  <c r="G146" i="17"/>
  <c r="N132" i="4"/>
  <c r="G141" i="17"/>
  <c r="R132" i="4"/>
  <c r="I141" i="17"/>
  <c r="K130" i="4"/>
  <c r="N130"/>
  <c r="H151" i="24"/>
  <c r="F151"/>
  <c r="H149"/>
  <c r="F149"/>
  <c r="H144"/>
  <c r="F144"/>
  <c r="H142"/>
  <c r="F142"/>
  <c r="H134" i="3"/>
  <c r="H141"/>
  <c r="O141"/>
  <c r="K140"/>
  <c r="K138"/>
  <c r="K133"/>
  <c r="N140"/>
  <c r="R140"/>
  <c r="I151" i="24"/>
  <c r="N138" i="3"/>
  <c r="G149" i="24"/>
  <c r="N133" i="3"/>
  <c r="R133"/>
  <c r="I144" i="24"/>
  <c r="K131" i="3"/>
  <c r="N131"/>
  <c r="G142" i="24"/>
  <c r="H72" i="3"/>
  <c r="F67" i="10"/>
  <c r="H75" i="20"/>
  <c r="F75"/>
  <c r="H71"/>
  <c r="F71"/>
  <c r="H66"/>
  <c r="F66"/>
  <c r="H62"/>
  <c r="F62"/>
  <c r="N67" i="2"/>
  <c r="N70"/>
  <c r="N72"/>
  <c r="J71"/>
  <c r="J66"/>
  <c r="N62"/>
  <c r="M71"/>
  <c r="Q71"/>
  <c r="I75" i="20"/>
  <c r="M66" i="2"/>
  <c r="G62" i="20"/>
  <c r="I66"/>
  <c r="N49" i="2"/>
  <c r="N50"/>
  <c r="N51"/>
  <c r="G51"/>
  <c r="G46"/>
  <c r="G41"/>
  <c r="F66" i="10"/>
  <c r="P123" i="4"/>
  <c r="P110"/>
  <c r="P88"/>
  <c r="O32"/>
  <c r="O56"/>
  <c r="O48"/>
  <c r="P124" i="3"/>
  <c r="P111"/>
  <c r="P89"/>
  <c r="H89"/>
  <c r="O57"/>
  <c r="O49"/>
  <c r="O33"/>
  <c r="N30" i="2"/>
  <c r="N39"/>
  <c r="H123" i="4"/>
  <c r="O123"/>
  <c r="G72" i="17"/>
  <c r="O89" i="3"/>
  <c r="H110" i="4"/>
  <c r="O110"/>
  <c r="H88"/>
  <c r="O88"/>
  <c r="O120"/>
  <c r="O97"/>
  <c r="O84"/>
  <c r="O69"/>
  <c r="O121" i="3"/>
  <c r="H111"/>
  <c r="O111"/>
  <c r="H124"/>
  <c r="O124"/>
  <c r="O98"/>
  <c r="O85"/>
  <c r="O70"/>
  <c r="N45" i="2"/>
  <c r="K18" i="4"/>
  <c r="K18" i="3"/>
  <c r="J11" i="2"/>
  <c r="J7" i="1"/>
  <c r="K98" i="4"/>
  <c r="K99" i="3"/>
  <c r="E72" i="10"/>
  <c r="F72"/>
  <c r="G24" i="24"/>
  <c r="F24"/>
  <c r="K151" i="4"/>
  <c r="N151"/>
  <c r="E70" i="10"/>
  <c r="F70"/>
  <c r="N18" i="4"/>
  <c r="K24" i="22"/>
  <c r="K23"/>
  <c r="K22"/>
  <c r="K21"/>
  <c r="K20"/>
  <c r="K19"/>
  <c r="K18"/>
  <c r="K17"/>
  <c r="K16"/>
  <c r="K15"/>
  <c r="K14"/>
  <c r="F24"/>
  <c r="F23"/>
  <c r="F22"/>
  <c r="F21"/>
  <c r="F20"/>
  <c r="F19"/>
  <c r="F18"/>
  <c r="F17"/>
  <c r="F14"/>
  <c r="E15"/>
  <c r="D15"/>
  <c r="C15"/>
  <c r="E14"/>
  <c r="D14"/>
  <c r="C14"/>
  <c r="B24"/>
  <c r="B23"/>
  <c r="B22"/>
  <c r="B21"/>
  <c r="B20"/>
  <c r="B19"/>
  <c r="B18"/>
  <c r="B17"/>
  <c r="B16"/>
  <c r="B15"/>
  <c r="B14"/>
  <c r="C11" i="21"/>
  <c r="C9"/>
  <c r="E9" i="19"/>
  <c r="D9"/>
  <c r="C9"/>
  <c r="E7"/>
  <c r="D7"/>
  <c r="C7"/>
  <c r="H180" i="17"/>
  <c r="F180"/>
  <c r="G179"/>
  <c r="F177"/>
  <c r="H176"/>
  <c r="F176"/>
  <c r="H175"/>
  <c r="F175"/>
  <c r="H174"/>
  <c r="F174"/>
  <c r="H172"/>
  <c r="F172"/>
  <c r="H171"/>
  <c r="F171"/>
  <c r="H170"/>
  <c r="F170"/>
  <c r="H164"/>
  <c r="F164"/>
  <c r="G163"/>
  <c r="H162"/>
  <c r="F162"/>
  <c r="G161"/>
  <c r="H160"/>
  <c r="F160"/>
  <c r="G157"/>
  <c r="F157"/>
  <c r="H156"/>
  <c r="F156"/>
  <c r="G155"/>
  <c r="H154"/>
  <c r="F154"/>
  <c r="H151"/>
  <c r="F151"/>
  <c r="G147"/>
  <c r="H144"/>
  <c r="F144"/>
  <c r="G137"/>
  <c r="H136"/>
  <c r="G136"/>
  <c r="H135"/>
  <c r="G135"/>
  <c r="G133"/>
  <c r="F133"/>
  <c r="G132"/>
  <c r="G131"/>
  <c r="F131"/>
  <c r="G130"/>
  <c r="F130"/>
  <c r="G128"/>
  <c r="G138"/>
  <c r="G127"/>
  <c r="H126"/>
  <c r="F126"/>
  <c r="G123"/>
  <c r="H122"/>
  <c r="G122"/>
  <c r="H121"/>
  <c r="G121"/>
  <c r="G119"/>
  <c r="F119"/>
  <c r="G118"/>
  <c r="G117"/>
  <c r="F117"/>
  <c r="G116"/>
  <c r="F116"/>
  <c r="G114"/>
  <c r="F114"/>
  <c r="H110"/>
  <c r="F110"/>
  <c r="G109"/>
  <c r="H108"/>
  <c r="F108"/>
  <c r="G107"/>
  <c r="H106"/>
  <c r="F106"/>
  <c r="G105"/>
  <c r="G145"/>
  <c r="G104"/>
  <c r="H102"/>
  <c r="F102"/>
  <c r="G101"/>
  <c r="H100"/>
  <c r="F100"/>
  <c r="G97"/>
  <c r="G96"/>
  <c r="H95"/>
  <c r="G95"/>
  <c r="H94"/>
  <c r="G94"/>
  <c r="G93"/>
  <c r="F93"/>
  <c r="G92"/>
  <c r="G91"/>
  <c r="F91"/>
  <c r="G90"/>
  <c r="F90"/>
  <c r="G87"/>
  <c r="H86"/>
  <c r="F86"/>
  <c r="H85"/>
  <c r="F85"/>
  <c r="G84"/>
  <c r="H83"/>
  <c r="F83"/>
  <c r="G82"/>
  <c r="H81"/>
  <c r="F81"/>
  <c r="G80"/>
  <c r="G140"/>
  <c r="H79"/>
  <c r="F79"/>
  <c r="G78"/>
  <c r="F78"/>
  <c r="G77"/>
  <c r="H76"/>
  <c r="F76"/>
  <c r="H73"/>
  <c r="F73"/>
  <c r="G71"/>
  <c r="F71"/>
  <c r="H70"/>
  <c r="F70"/>
  <c r="G69"/>
  <c r="H68"/>
  <c r="F68"/>
  <c r="G67"/>
  <c r="H66"/>
  <c r="F66"/>
  <c r="H65"/>
  <c r="F65"/>
  <c r="G64"/>
  <c r="H63"/>
  <c r="F63"/>
  <c r="H62"/>
  <c r="F62"/>
  <c r="G61"/>
  <c r="H60"/>
  <c r="F60"/>
  <c r="G59"/>
  <c r="G54"/>
  <c r="H53"/>
  <c r="F53"/>
  <c r="H50"/>
  <c r="F50"/>
  <c r="G49"/>
  <c r="F49"/>
  <c r="H48"/>
  <c r="F48"/>
  <c r="G47"/>
  <c r="H46"/>
  <c r="F46"/>
  <c r="H45"/>
  <c r="F45"/>
  <c r="G44"/>
  <c r="H43"/>
  <c r="F43"/>
  <c r="G42"/>
  <c r="H41"/>
  <c r="F41"/>
  <c r="H38"/>
  <c r="F38"/>
  <c r="G37"/>
  <c r="H36"/>
  <c r="F36"/>
  <c r="G35"/>
  <c r="F34"/>
  <c r="G33"/>
  <c r="H32"/>
  <c r="F32"/>
  <c r="G31"/>
  <c r="G30"/>
  <c r="H29"/>
  <c r="F29"/>
  <c r="H28"/>
  <c r="F28"/>
  <c r="H27"/>
  <c r="F27"/>
  <c r="G26"/>
  <c r="H25"/>
  <c r="F25"/>
  <c r="G24"/>
  <c r="H23"/>
  <c r="F23"/>
  <c r="G20"/>
  <c r="H19"/>
  <c r="F19"/>
  <c r="G18"/>
  <c r="F17"/>
  <c r="H16"/>
  <c r="F16"/>
  <c r="H13"/>
  <c r="F13"/>
  <c r="H12"/>
  <c r="G12"/>
  <c r="F12"/>
  <c r="H11"/>
  <c r="F11"/>
  <c r="H10"/>
  <c r="F10"/>
  <c r="I9"/>
  <c r="H9"/>
  <c r="G9"/>
  <c r="F9"/>
  <c r="G8"/>
  <c r="F8"/>
  <c r="G7"/>
  <c r="H6"/>
  <c r="F6"/>
  <c r="H183" i="24"/>
  <c r="F183"/>
  <c r="G182"/>
  <c r="H180"/>
  <c r="H179"/>
  <c r="F179"/>
  <c r="H178"/>
  <c r="F178"/>
  <c r="H177"/>
  <c r="F177"/>
  <c r="H176"/>
  <c r="F176"/>
  <c r="H175"/>
  <c r="F175"/>
  <c r="H174"/>
  <c r="F174"/>
  <c r="H171"/>
  <c r="F171"/>
  <c r="G170"/>
  <c r="H165"/>
  <c r="F165"/>
  <c r="G164"/>
  <c r="H163"/>
  <c r="F163"/>
  <c r="G160"/>
  <c r="F160"/>
  <c r="H159"/>
  <c r="F159"/>
  <c r="G158"/>
  <c r="H157"/>
  <c r="F157"/>
  <c r="H154"/>
  <c r="F154"/>
  <c r="G150"/>
  <c r="H147"/>
  <c r="F147"/>
  <c r="G140"/>
  <c r="H139"/>
  <c r="G139"/>
  <c r="H138"/>
  <c r="G138"/>
  <c r="G136"/>
  <c r="F136"/>
  <c r="G135"/>
  <c r="G134"/>
  <c r="F134"/>
  <c r="G133"/>
  <c r="F133"/>
  <c r="G131"/>
  <c r="G141"/>
  <c r="G130"/>
  <c r="H129"/>
  <c r="F129"/>
  <c r="G126"/>
  <c r="H125"/>
  <c r="G125"/>
  <c r="H124"/>
  <c r="G124"/>
  <c r="G122"/>
  <c r="F122"/>
  <c r="G121"/>
  <c r="G120"/>
  <c r="F120"/>
  <c r="G119"/>
  <c r="F119"/>
  <c r="G117"/>
  <c r="F117"/>
  <c r="H116"/>
  <c r="F116"/>
  <c r="G115"/>
  <c r="H110"/>
  <c r="F110"/>
  <c r="G109"/>
  <c r="H108"/>
  <c r="F108"/>
  <c r="G107"/>
  <c r="G106"/>
  <c r="H104"/>
  <c r="F104"/>
  <c r="G103"/>
  <c r="H102"/>
  <c r="F102"/>
  <c r="G99"/>
  <c r="G98"/>
  <c r="H97"/>
  <c r="G97"/>
  <c r="H96"/>
  <c r="G96"/>
  <c r="G95"/>
  <c r="F95"/>
  <c r="G94"/>
  <c r="G93"/>
  <c r="F93"/>
  <c r="G92"/>
  <c r="F92"/>
  <c r="G89"/>
  <c r="H88"/>
  <c r="F88"/>
  <c r="H87"/>
  <c r="F87"/>
  <c r="G86"/>
  <c r="H85"/>
  <c r="F85"/>
  <c r="G84"/>
  <c r="H83"/>
  <c r="F83"/>
  <c r="G82"/>
  <c r="G148"/>
  <c r="H81"/>
  <c r="F81"/>
  <c r="G80"/>
  <c r="F80"/>
  <c r="G79"/>
  <c r="H78"/>
  <c r="F78"/>
  <c r="G143"/>
  <c r="H75"/>
  <c r="F75"/>
  <c r="G74"/>
  <c r="G73"/>
  <c r="F73"/>
  <c r="H72"/>
  <c r="F72"/>
  <c r="G71"/>
  <c r="H70"/>
  <c r="F70"/>
  <c r="G69"/>
  <c r="H68"/>
  <c r="F68"/>
  <c r="H67"/>
  <c r="F67"/>
  <c r="G66"/>
  <c r="H65"/>
  <c r="F65"/>
  <c r="H64"/>
  <c r="F64"/>
  <c r="G63"/>
  <c r="H62"/>
  <c r="F62"/>
  <c r="G61"/>
  <c r="G60"/>
  <c r="H54"/>
  <c r="F54"/>
  <c r="H51"/>
  <c r="F51"/>
  <c r="G50"/>
  <c r="F50"/>
  <c r="H49"/>
  <c r="F49"/>
  <c r="G48"/>
  <c r="H47"/>
  <c r="F47"/>
  <c r="H46"/>
  <c r="F46"/>
  <c r="G45"/>
  <c r="H44"/>
  <c r="F44"/>
  <c r="G43"/>
  <c r="H42"/>
  <c r="F42"/>
  <c r="H39"/>
  <c r="F39"/>
  <c r="G38"/>
  <c r="H37"/>
  <c r="F37"/>
  <c r="G36"/>
  <c r="F35"/>
  <c r="G34"/>
  <c r="H33"/>
  <c r="F33"/>
  <c r="G32"/>
  <c r="G31"/>
  <c r="H30"/>
  <c r="F30"/>
  <c r="H29"/>
  <c r="F29"/>
  <c r="H28"/>
  <c r="F28"/>
  <c r="G27"/>
  <c r="H26"/>
  <c r="F26"/>
  <c r="G25"/>
  <c r="H23"/>
  <c r="F23"/>
  <c r="G20"/>
  <c r="H19"/>
  <c r="F19"/>
  <c r="G18"/>
  <c r="F17"/>
  <c r="H16"/>
  <c r="F16"/>
  <c r="H13"/>
  <c r="F13"/>
  <c r="H11"/>
  <c r="F11"/>
  <c r="H10"/>
  <c r="F10"/>
  <c r="G8"/>
  <c r="F8"/>
  <c r="G7"/>
  <c r="H6"/>
  <c r="F6"/>
  <c r="H91" i="20"/>
  <c r="F91"/>
  <c r="G90"/>
  <c r="H87"/>
  <c r="F87"/>
  <c r="H86"/>
  <c r="F86"/>
  <c r="H85"/>
  <c r="F85"/>
  <c r="H84"/>
  <c r="F84"/>
  <c r="H83"/>
  <c r="F83"/>
  <c r="H82"/>
  <c r="F82"/>
  <c r="H79"/>
  <c r="F79"/>
  <c r="G76"/>
  <c r="H73"/>
  <c r="F73"/>
  <c r="G72"/>
  <c r="H69"/>
  <c r="F69"/>
  <c r="G65"/>
  <c r="G64"/>
  <c r="G63"/>
  <c r="H60"/>
  <c r="F60"/>
  <c r="G74"/>
  <c r="G50"/>
  <c r="G49"/>
  <c r="H48"/>
  <c r="F48"/>
  <c r="G61"/>
  <c r="G45"/>
  <c r="G44"/>
  <c r="H43"/>
  <c r="F43"/>
  <c r="G70"/>
  <c r="F40"/>
  <c r="G39"/>
  <c r="G38"/>
  <c r="G37"/>
  <c r="F37"/>
  <c r="H36"/>
  <c r="F36"/>
  <c r="G33"/>
  <c r="F33"/>
  <c r="G32"/>
  <c r="F31"/>
  <c r="G30"/>
  <c r="G29"/>
  <c r="F29"/>
  <c r="G28"/>
  <c r="G27"/>
  <c r="F27"/>
  <c r="F26"/>
  <c r="G25"/>
  <c r="F25"/>
  <c r="H24"/>
  <c r="F24"/>
  <c r="G21"/>
  <c r="G20"/>
  <c r="F20"/>
  <c r="H19"/>
  <c r="F19"/>
  <c r="H18"/>
  <c r="F18"/>
  <c r="G16"/>
  <c r="H15"/>
  <c r="F15"/>
  <c r="F12"/>
  <c r="F11"/>
  <c r="H10"/>
  <c r="F10"/>
  <c r="H7"/>
  <c r="F7"/>
  <c r="H50" i="16"/>
  <c r="F50"/>
  <c r="G49"/>
  <c r="H46"/>
  <c r="F46"/>
  <c r="H45"/>
  <c r="F45"/>
  <c r="H44"/>
  <c r="F44"/>
  <c r="H43"/>
  <c r="F43"/>
  <c r="H42"/>
  <c r="F42"/>
  <c r="F39"/>
  <c r="F38"/>
  <c r="H37"/>
  <c r="F37"/>
  <c r="H34"/>
  <c r="F34"/>
  <c r="H31"/>
  <c r="F31"/>
  <c r="G28"/>
  <c r="H27"/>
  <c r="F27"/>
  <c r="H24"/>
  <c r="F24"/>
  <c r="H23"/>
  <c r="F23"/>
  <c r="G22"/>
  <c r="G20"/>
  <c r="G19"/>
  <c r="H18"/>
  <c r="F18"/>
  <c r="G17"/>
  <c r="G16"/>
  <c r="F16"/>
  <c r="H15"/>
  <c r="F15"/>
  <c r="F12"/>
  <c r="G11"/>
  <c r="F11"/>
  <c r="H10"/>
  <c r="F10"/>
  <c r="F8"/>
  <c r="F9" i="19"/>
  <c r="F7"/>
  <c r="J136" i="4"/>
  <c r="F145" i="17"/>
  <c r="I38" i="7"/>
  <c r="I16"/>
  <c r="F15" i="22"/>
  <c r="H26" i="9"/>
  <c r="H7" i="7"/>
  <c r="H4"/>
  <c r="J6"/>
  <c r="N98" i="4"/>
  <c r="G102" i="17"/>
  <c r="N99" i="4"/>
  <c r="G103" i="17"/>
  <c r="K102" i="4"/>
  <c r="M102"/>
  <c r="N102"/>
  <c r="K104"/>
  <c r="M104"/>
  <c r="N104"/>
  <c r="M106"/>
  <c r="K11"/>
  <c r="K12"/>
  <c r="K14"/>
  <c r="N14"/>
  <c r="K20"/>
  <c r="N20"/>
  <c r="G19" i="17"/>
  <c r="M26" i="4"/>
  <c r="M28"/>
  <c r="K29"/>
  <c r="M29"/>
  <c r="N29"/>
  <c r="G28" i="17"/>
  <c r="K30" i="4"/>
  <c r="M30"/>
  <c r="N30"/>
  <c r="G29" i="17"/>
  <c r="K33" i="4"/>
  <c r="M33"/>
  <c r="N33"/>
  <c r="G32" i="17"/>
  <c r="K35" i="4"/>
  <c r="N35"/>
  <c r="G34" i="17"/>
  <c r="K37" i="4"/>
  <c r="M37"/>
  <c r="N37"/>
  <c r="K39"/>
  <c r="M39"/>
  <c r="N39"/>
  <c r="G38" i="17"/>
  <c r="K44" i="4"/>
  <c r="M44"/>
  <c r="N44"/>
  <c r="G43" i="17"/>
  <c r="K46" i="4"/>
  <c r="M46"/>
  <c r="N46"/>
  <c r="G45" i="17"/>
  <c r="K47" i="4"/>
  <c r="M47"/>
  <c r="N47"/>
  <c r="G46" i="17"/>
  <c r="K49" i="4"/>
  <c r="N49"/>
  <c r="K51"/>
  <c r="M51"/>
  <c r="N51"/>
  <c r="K57"/>
  <c r="N57"/>
  <c r="G60" i="17"/>
  <c r="M59" i="4"/>
  <c r="K60"/>
  <c r="M60"/>
  <c r="N60"/>
  <c r="K62"/>
  <c r="M62"/>
  <c r="N62"/>
  <c r="K63"/>
  <c r="M63"/>
  <c r="N63"/>
  <c r="K65"/>
  <c r="M65"/>
  <c r="N65"/>
  <c r="K67"/>
  <c r="M67"/>
  <c r="N67"/>
  <c r="K70"/>
  <c r="M70"/>
  <c r="N70"/>
  <c r="K76"/>
  <c r="N76"/>
  <c r="G79" i="17"/>
  <c r="K78" i="4"/>
  <c r="M78"/>
  <c r="N78"/>
  <c r="G81" i="17"/>
  <c r="K80" i="4"/>
  <c r="M80"/>
  <c r="N80"/>
  <c r="G83" i="17"/>
  <c r="K82" i="4"/>
  <c r="M82"/>
  <c r="N82"/>
  <c r="G85" i="17"/>
  <c r="K83" i="4"/>
  <c r="M83"/>
  <c r="N83"/>
  <c r="G86" i="17"/>
  <c r="K147" i="4"/>
  <c r="M147"/>
  <c r="N147"/>
  <c r="G156" i="17"/>
  <c r="K153" i="4"/>
  <c r="M153"/>
  <c r="N153"/>
  <c r="G162" i="17"/>
  <c r="K155" i="4"/>
  <c r="M155"/>
  <c r="N155"/>
  <c r="G164" i="17"/>
  <c r="N160" i="4"/>
  <c r="G172" i="17"/>
  <c r="D16" i="11"/>
  <c r="H16"/>
  <c r="I16"/>
  <c r="J16"/>
  <c r="K16"/>
  <c r="L16"/>
  <c r="M16"/>
  <c r="S16"/>
  <c r="N16"/>
  <c r="B66" i="6"/>
  <c r="C75" i="19"/>
  <c r="P86" i="4"/>
  <c r="P87"/>
  <c r="P89"/>
  <c r="P108"/>
  <c r="P109"/>
  <c r="P111"/>
  <c r="P121"/>
  <c r="P122"/>
  <c r="P124"/>
  <c r="K11" i="3"/>
  <c r="K12"/>
  <c r="K20"/>
  <c r="N20"/>
  <c r="G19" i="24"/>
  <c r="M27" i="3"/>
  <c r="M29"/>
  <c r="K30"/>
  <c r="M30"/>
  <c r="N30"/>
  <c r="G29" i="24"/>
  <c r="K31" i="3"/>
  <c r="M31"/>
  <c r="N31"/>
  <c r="G30" i="24"/>
  <c r="K34" i="3"/>
  <c r="M34"/>
  <c r="N34"/>
  <c r="G33" i="24"/>
  <c r="K36" i="3"/>
  <c r="N36"/>
  <c r="G35" i="24"/>
  <c r="K38" i="3"/>
  <c r="M38"/>
  <c r="N38"/>
  <c r="K40"/>
  <c r="M40"/>
  <c r="N40"/>
  <c r="K45"/>
  <c r="M45"/>
  <c r="N45"/>
  <c r="K47"/>
  <c r="M47"/>
  <c r="N47"/>
  <c r="K48"/>
  <c r="M48"/>
  <c r="N48"/>
  <c r="K50"/>
  <c r="N50"/>
  <c r="G49" i="24"/>
  <c r="K52" i="3"/>
  <c r="M52"/>
  <c r="N52"/>
  <c r="G51" i="24"/>
  <c r="K58" i="3"/>
  <c r="N58"/>
  <c r="M60"/>
  <c r="K61"/>
  <c r="M61"/>
  <c r="N61"/>
  <c r="G65" i="24"/>
  <c r="K63" i="3"/>
  <c r="M63"/>
  <c r="N63"/>
  <c r="G67" i="24"/>
  <c r="K64" i="3"/>
  <c r="M64"/>
  <c r="N64"/>
  <c r="G68" i="24"/>
  <c r="K66" i="3"/>
  <c r="M66"/>
  <c r="N66"/>
  <c r="G70" i="24"/>
  <c r="K68" i="3"/>
  <c r="M68"/>
  <c r="N68"/>
  <c r="G72" i="24"/>
  <c r="K71" i="3"/>
  <c r="M71"/>
  <c r="N71"/>
  <c r="G75" i="24"/>
  <c r="K77" i="3"/>
  <c r="M77"/>
  <c r="N77"/>
  <c r="G81" i="24"/>
  <c r="K79" i="3"/>
  <c r="M79"/>
  <c r="N79"/>
  <c r="G83" i="24"/>
  <c r="K81" i="3"/>
  <c r="M81"/>
  <c r="N81"/>
  <c r="G85" i="24"/>
  <c r="K83" i="3"/>
  <c r="M83"/>
  <c r="N83"/>
  <c r="G87" i="24"/>
  <c r="K84" i="3"/>
  <c r="M84"/>
  <c r="N84"/>
  <c r="G88" i="24"/>
  <c r="K103" i="3"/>
  <c r="M103"/>
  <c r="N103"/>
  <c r="G108" i="24"/>
  <c r="K105" i="3"/>
  <c r="M105"/>
  <c r="N105"/>
  <c r="G110" i="24"/>
  <c r="M107" i="3"/>
  <c r="K148"/>
  <c r="M148"/>
  <c r="N148"/>
  <c r="K154"/>
  <c r="M154"/>
  <c r="N154"/>
  <c r="K156"/>
  <c r="M156"/>
  <c r="N156"/>
  <c r="N161"/>
  <c r="G176" i="24"/>
  <c r="P87" i="3"/>
  <c r="P88"/>
  <c r="P90"/>
  <c r="P109"/>
  <c r="P110"/>
  <c r="P112"/>
  <c r="P122"/>
  <c r="P123"/>
  <c r="P125"/>
  <c r="D50" i="6"/>
  <c r="E53" i="19"/>
  <c r="I39" i="7"/>
  <c r="J12" i="2"/>
  <c r="M12"/>
  <c r="G12" i="20"/>
  <c r="J17" i="2"/>
  <c r="L17"/>
  <c r="M17"/>
  <c r="G17" i="20"/>
  <c r="J18" i="2"/>
  <c r="L18"/>
  <c r="M18"/>
  <c r="G18" i="20"/>
  <c r="J19" i="2"/>
  <c r="M19"/>
  <c r="J26"/>
  <c r="L26"/>
  <c r="M26"/>
  <c r="J31"/>
  <c r="M31"/>
  <c r="G31" i="20"/>
  <c r="J40" i="2"/>
  <c r="M40"/>
  <c r="G40" i="20"/>
  <c r="J68" i="2"/>
  <c r="L68"/>
  <c r="M68"/>
  <c r="M79"/>
  <c r="G84" i="20"/>
  <c r="B7" i="6"/>
  <c r="C8" i="19"/>
  <c r="J21" i="1"/>
  <c r="M21"/>
  <c r="G21" i="16"/>
  <c r="J23" i="1"/>
  <c r="M23"/>
  <c r="G38" i="16"/>
  <c r="M45" i="1"/>
  <c r="G44" i="16"/>
  <c r="I48" i="7"/>
  <c r="I17"/>
  <c r="F16" i="22"/>
  <c r="I26" i="7"/>
  <c r="L46" i="9"/>
  <c r="C48" i="23"/>
  <c r="L44" i="9"/>
  <c r="C46" i="23"/>
  <c r="L45" i="9"/>
  <c r="C47" i="23"/>
  <c r="L43" i="9"/>
  <c r="C45" i="23"/>
  <c r="L42" i="9"/>
  <c r="C44" i="23"/>
  <c r="E90" i="9"/>
  <c r="E79"/>
  <c r="E65"/>
  <c r="E52"/>
  <c r="E39"/>
  <c r="I13" i="1"/>
  <c r="F13" i="16"/>
  <c r="B9" i="6"/>
  <c r="C10" i="19"/>
  <c r="J8" i="11"/>
  <c r="K8"/>
  <c r="L8"/>
  <c r="M8"/>
  <c r="S8"/>
  <c r="N8"/>
  <c r="P8"/>
  <c r="L33" i="9"/>
  <c r="C35" i="23"/>
  <c r="L32" i="9"/>
  <c r="C34" i="23"/>
  <c r="L31" i="9"/>
  <c r="C33" i="23"/>
  <c r="L30" i="9"/>
  <c r="C32" i="23"/>
  <c r="L29" i="9"/>
  <c r="C31" i="23"/>
  <c r="R20" i="4"/>
  <c r="I19" i="17"/>
  <c r="L20" i="4"/>
  <c r="O19"/>
  <c r="R20" i="3"/>
  <c r="I19" i="24"/>
  <c r="L20" i="3"/>
  <c r="O19"/>
  <c r="O34" i="4"/>
  <c r="R29"/>
  <c r="I28" i="17"/>
  <c r="R30" i="4"/>
  <c r="I29" i="17"/>
  <c r="R33" i="4"/>
  <c r="I32" i="17"/>
  <c r="R39" i="4"/>
  <c r="I38" i="17"/>
  <c r="O35" i="3"/>
  <c r="D15" i="11"/>
  <c r="H15"/>
  <c r="I15"/>
  <c r="J15"/>
  <c r="N15"/>
  <c r="P15"/>
  <c r="G15"/>
  <c r="D14"/>
  <c r="H14"/>
  <c r="I14"/>
  <c r="J14"/>
  <c r="K14"/>
  <c r="L14"/>
  <c r="M14"/>
  <c r="S14"/>
  <c r="N14"/>
  <c r="H126" i="4"/>
  <c r="H113"/>
  <c r="J143"/>
  <c r="F152" i="17"/>
  <c r="B63" i="6"/>
  <c r="C72" i="19"/>
  <c r="N167" i="4"/>
  <c r="G180" i="17"/>
  <c r="N168" i="4"/>
  <c r="G181" i="17"/>
  <c r="N158" i="4"/>
  <c r="G170" i="17"/>
  <c r="N159" i="4"/>
  <c r="G171" i="17"/>
  <c r="N161" i="4"/>
  <c r="G174" i="17"/>
  <c r="N162" i="4"/>
  <c r="G175" i="17"/>
  <c r="N163" i="4"/>
  <c r="G176" i="17"/>
  <c r="O119" i="4"/>
  <c r="O128"/>
  <c r="O133"/>
  <c r="O100"/>
  <c r="O101"/>
  <c r="O103"/>
  <c r="O105"/>
  <c r="O115"/>
  <c r="O74"/>
  <c r="Q74"/>
  <c r="H77" i="17"/>
  <c r="O77" i="4"/>
  <c r="O79"/>
  <c r="O81"/>
  <c r="O92"/>
  <c r="Q93"/>
  <c r="H97" i="17"/>
  <c r="O166" i="4"/>
  <c r="Q164"/>
  <c r="H177" i="17"/>
  <c r="D66" i="6"/>
  <c r="E75" i="19"/>
  <c r="O152" i="4"/>
  <c r="O154"/>
  <c r="O146"/>
  <c r="Q143"/>
  <c r="H152" i="17"/>
  <c r="D63" i="6"/>
  <c r="E72" i="19"/>
  <c r="O55" i="4"/>
  <c r="Q55"/>
  <c r="H54" i="17"/>
  <c r="O58" i="4"/>
  <c r="O61"/>
  <c r="O64"/>
  <c r="O66"/>
  <c r="O43"/>
  <c r="O45"/>
  <c r="O25"/>
  <c r="O27"/>
  <c r="O36"/>
  <c r="O38"/>
  <c r="H5" i="7"/>
  <c r="H6"/>
  <c r="C47"/>
  <c r="D47"/>
  <c r="K47"/>
  <c r="C46"/>
  <c r="D46"/>
  <c r="K46"/>
  <c r="C44"/>
  <c r="D44"/>
  <c r="K44"/>
  <c r="C43"/>
  <c r="D43"/>
  <c r="K43"/>
  <c r="C42"/>
  <c r="D42"/>
  <c r="K42"/>
  <c r="C41"/>
  <c r="D41"/>
  <c r="K41"/>
  <c r="C40"/>
  <c r="D40"/>
  <c r="K40"/>
  <c r="C39"/>
  <c r="D39"/>
  <c r="K39"/>
  <c r="O80" i="3"/>
  <c r="O82"/>
  <c r="O75"/>
  <c r="Q75"/>
  <c r="H79" i="24"/>
  <c r="O78" i="3"/>
  <c r="O93"/>
  <c r="O94"/>
  <c r="Q94"/>
  <c r="H99" i="24"/>
  <c r="O102" i="3"/>
  <c r="O104"/>
  <c r="O106"/>
  <c r="O101"/>
  <c r="O116"/>
  <c r="O26"/>
  <c r="O28"/>
  <c r="O37"/>
  <c r="O39"/>
  <c r="O44"/>
  <c r="O46"/>
  <c r="O51"/>
  <c r="O56"/>
  <c r="Q56"/>
  <c r="H60" i="24"/>
  <c r="O59" i="3"/>
  <c r="O62"/>
  <c r="O65"/>
  <c r="O67"/>
  <c r="O120"/>
  <c r="O129"/>
  <c r="O134"/>
  <c r="Q144"/>
  <c r="H155" i="24"/>
  <c r="D47" i="6"/>
  <c r="E50" i="19"/>
  <c r="O147" i="3"/>
  <c r="O153"/>
  <c r="O155"/>
  <c r="O167"/>
  <c r="P8" i="2"/>
  <c r="H8" i="20"/>
  <c r="D22" i="6"/>
  <c r="E24" i="19"/>
  <c r="N16" i="2"/>
  <c r="N17"/>
  <c r="N28"/>
  <c r="N32"/>
  <c r="P32"/>
  <c r="H32" i="20"/>
  <c r="N38" i="2"/>
  <c r="N41"/>
  <c r="N44"/>
  <c r="N46"/>
  <c r="P75"/>
  <c r="H80" i="20"/>
  <c r="P83" i="2"/>
  <c r="H88" i="20"/>
  <c r="D34" i="6"/>
  <c r="E36" i="19"/>
  <c r="N85" i="2"/>
  <c r="N19" i="1"/>
  <c r="N20"/>
  <c r="N21"/>
  <c r="N22"/>
  <c r="N28"/>
  <c r="P32"/>
  <c r="H32" i="16"/>
  <c r="D15" i="6"/>
  <c r="E16" i="19"/>
  <c r="P35" i="1"/>
  <c r="H35" i="16"/>
  <c r="D16" i="6"/>
  <c r="E17" i="19"/>
  <c r="P48" i="1"/>
  <c r="H47" i="16"/>
  <c r="D18" i="6"/>
  <c r="E19" i="19"/>
  <c r="N50" i="1"/>
  <c r="N14" i="3"/>
  <c r="R14"/>
  <c r="I13" i="24"/>
  <c r="G13"/>
  <c r="N99" i="3"/>
  <c r="G104" i="24"/>
  <c r="N159" i="3"/>
  <c r="G174" i="24"/>
  <c r="N160" i="3"/>
  <c r="G175" i="24"/>
  <c r="N162" i="3"/>
  <c r="G177" i="24"/>
  <c r="N163" i="3"/>
  <c r="G178" i="24"/>
  <c r="N164" i="3"/>
  <c r="G179" i="24"/>
  <c r="N168" i="3"/>
  <c r="G183" i="24"/>
  <c r="N169" i="3"/>
  <c r="G184" i="24"/>
  <c r="C51" i="6"/>
  <c r="D54" i="19"/>
  <c r="M77" i="2"/>
  <c r="G82" i="20"/>
  <c r="M78" i="2"/>
  <c r="G83" i="20"/>
  <c r="M80" i="2"/>
  <c r="G85" i="20"/>
  <c r="M81" i="2"/>
  <c r="G86" i="20"/>
  <c r="M82" i="2"/>
  <c r="G87" i="20"/>
  <c r="M86" i="2"/>
  <c r="G91" i="20"/>
  <c r="M87" i="2"/>
  <c r="G92" i="20"/>
  <c r="C35" i="6"/>
  <c r="D37" i="19"/>
  <c r="M12" i="1"/>
  <c r="G12" i="16"/>
  <c r="M24" i="1"/>
  <c r="G24" i="16"/>
  <c r="M43" i="1"/>
  <c r="G42" i="16"/>
  <c r="M44" i="1"/>
  <c r="G43" i="16"/>
  <c r="M46" i="1"/>
  <c r="G45" i="16"/>
  <c r="M47" i="1"/>
  <c r="G46" i="16"/>
  <c r="M51" i="1"/>
  <c r="G50" i="16"/>
  <c r="M52" i="1"/>
  <c r="G51" i="16"/>
  <c r="C19" i="6"/>
  <c r="D20" i="19"/>
  <c r="P14" i="11"/>
  <c r="T14"/>
  <c r="Q14"/>
  <c r="P16"/>
  <c r="T16"/>
  <c r="Q16"/>
  <c r="J23"/>
  <c r="K23"/>
  <c r="L23"/>
  <c r="M23"/>
  <c r="H114" i="3"/>
  <c r="H127"/>
  <c r="J144"/>
  <c r="F155" i="24"/>
  <c r="B47" i="6"/>
  <c r="C50" i="19"/>
  <c r="J165" i="3"/>
  <c r="F180" i="24"/>
  <c r="B50" i="6"/>
  <c r="C53" i="19"/>
  <c r="I8" i="2"/>
  <c r="F8" i="20"/>
  <c r="B22" i="6"/>
  <c r="C24" i="19"/>
  <c r="I13" i="2"/>
  <c r="F13" i="20"/>
  <c r="B23" i="6"/>
  <c r="C25" i="19"/>
  <c r="I75" i="2"/>
  <c r="F80" i="20"/>
  <c r="I83" i="2"/>
  <c r="F88" i="20"/>
  <c r="B34" i="6"/>
  <c r="C36" i="19"/>
  <c r="J10" i="11"/>
  <c r="K10"/>
  <c r="L10"/>
  <c r="M10"/>
  <c r="S10"/>
  <c r="J11"/>
  <c r="K11"/>
  <c r="L11"/>
  <c r="M11"/>
  <c r="I32" i="1"/>
  <c r="F32" i="16"/>
  <c r="B15" i="6"/>
  <c r="C16" i="19"/>
  <c r="I35" i="1"/>
  <c r="F35" i="16"/>
  <c r="B16" i="6"/>
  <c r="C17" i="19"/>
  <c r="F40" i="16"/>
  <c r="B17" i="6"/>
  <c r="C18" i="19"/>
  <c r="I48" i="1"/>
  <c r="F47" i="16"/>
  <c r="B18" i="6"/>
  <c r="C19" i="19"/>
  <c r="C45" i="7"/>
  <c r="D45"/>
  <c r="C25"/>
  <c r="C24" i="22"/>
  <c r="C24" i="7"/>
  <c r="C23" i="22"/>
  <c r="C23" i="7"/>
  <c r="C22" i="22"/>
  <c r="C22" i="7"/>
  <c r="C21" i="22"/>
  <c r="C21" i="7"/>
  <c r="C20" i="22"/>
  <c r="C20" i="7"/>
  <c r="C19" i="22"/>
  <c r="C19" i="7"/>
  <c r="C18" i="22"/>
  <c r="C18" i="7"/>
  <c r="C17" i="22"/>
  <c r="C17" i="7"/>
  <c r="C16" i="22"/>
  <c r="O168" i="4"/>
  <c r="O156"/>
  <c r="O149"/>
  <c r="O143"/>
  <c r="O140"/>
  <c r="O71"/>
  <c r="O52"/>
  <c r="O40"/>
  <c r="O22"/>
  <c r="O15"/>
  <c r="R103" i="3"/>
  <c r="I108" i="24"/>
  <c r="R105" i="3"/>
  <c r="I110" i="24"/>
  <c r="R99" i="3"/>
  <c r="I104" i="24"/>
  <c r="R77" i="3"/>
  <c r="I81" i="24"/>
  <c r="R79" i="3"/>
  <c r="I83" i="24"/>
  <c r="R81" i="3"/>
  <c r="I85" i="24"/>
  <c r="R83" i="3"/>
  <c r="I87" i="24"/>
  <c r="R84" i="3"/>
  <c r="I88" i="24"/>
  <c r="R61" i="3"/>
  <c r="I65" i="24"/>
  <c r="R63" i="3"/>
  <c r="I67" i="24"/>
  <c r="R64" i="3"/>
  <c r="I68" i="24"/>
  <c r="R66" i="3"/>
  <c r="I70" i="24"/>
  <c r="R68" i="3"/>
  <c r="I72" i="24"/>
  <c r="R71" i="3"/>
  <c r="I75" i="24"/>
  <c r="R30" i="3"/>
  <c r="I29" i="24"/>
  <c r="R31" i="3"/>
  <c r="I30" i="24"/>
  <c r="R34" i="3"/>
  <c r="I33" i="24"/>
  <c r="R98" i="4"/>
  <c r="I102" i="17"/>
  <c r="O157" i="3"/>
  <c r="O150"/>
  <c r="O144"/>
  <c r="O95"/>
  <c r="O41"/>
  <c r="N21" i="11"/>
  <c r="N20"/>
  <c r="D24"/>
  <c r="J24"/>
  <c r="N24"/>
  <c r="H5"/>
  <c r="I5"/>
  <c r="H9"/>
  <c r="I9"/>
  <c r="Q7"/>
  <c r="H17"/>
  <c r="I17"/>
  <c r="N23"/>
  <c r="D6"/>
  <c r="H6"/>
  <c r="I6"/>
  <c r="J6"/>
  <c r="N6"/>
  <c r="P6"/>
  <c r="T6"/>
  <c r="D12"/>
  <c r="H12"/>
  <c r="I12"/>
  <c r="J12"/>
  <c r="N12"/>
  <c r="P12"/>
  <c r="H62" i="6"/>
  <c r="H36" i="21"/>
  <c r="R153" i="4"/>
  <c r="I162" i="17"/>
  <c r="R155" i="4"/>
  <c r="I164" i="17"/>
  <c r="R13" i="4"/>
  <c r="I12" i="17"/>
  <c r="H15" i="3"/>
  <c r="H95"/>
  <c r="K4" i="11"/>
  <c r="L4"/>
  <c r="M4"/>
  <c r="S4"/>
  <c r="N4"/>
  <c r="D20"/>
  <c r="H20"/>
  <c r="I20"/>
  <c r="J20"/>
  <c r="H18"/>
  <c r="I18"/>
  <c r="Q18"/>
  <c r="D13"/>
  <c r="H13"/>
  <c r="I13"/>
  <c r="J13"/>
  <c r="N13"/>
  <c r="P13"/>
  <c r="T13"/>
  <c r="N11"/>
  <c r="P11"/>
  <c r="T11"/>
  <c r="N10"/>
  <c r="P10"/>
  <c r="D7"/>
  <c r="H7"/>
  <c r="I7"/>
  <c r="G24"/>
  <c r="R57" i="4"/>
  <c r="I60" i="17"/>
  <c r="L57" i="4"/>
  <c r="L49"/>
  <c r="L35"/>
  <c r="L33"/>
  <c r="L58" i="3"/>
  <c r="L50"/>
  <c r="R50"/>
  <c r="I49" i="24"/>
  <c r="L36" i="3"/>
  <c r="L34"/>
  <c r="E10" i="10"/>
  <c r="L155" i="4"/>
  <c r="L153"/>
  <c r="R147"/>
  <c r="I156" i="17"/>
  <c r="L147" i="4"/>
  <c r="D26" i="10"/>
  <c r="L106" i="4"/>
  <c r="L104"/>
  <c r="L102"/>
  <c r="L83"/>
  <c r="L82"/>
  <c r="L80"/>
  <c r="L78"/>
  <c r="R83"/>
  <c r="I86" i="17"/>
  <c r="R82" i="4"/>
  <c r="I85" i="17"/>
  <c r="R80" i="4"/>
  <c r="I83" i="17"/>
  <c r="R78" i="4"/>
  <c r="I81" i="17"/>
  <c r="L67" i="4"/>
  <c r="L65"/>
  <c r="L63"/>
  <c r="L62"/>
  <c r="L60"/>
  <c r="L59"/>
  <c r="R47"/>
  <c r="I46" i="17"/>
  <c r="L47" i="4"/>
  <c r="R46"/>
  <c r="I45" i="17"/>
  <c r="L46" i="4"/>
  <c r="R44"/>
  <c r="I43" i="17"/>
  <c r="L44" i="4"/>
  <c r="L39"/>
  <c r="L37"/>
  <c r="L30"/>
  <c r="L29"/>
  <c r="L28"/>
  <c r="L26"/>
  <c r="L156" i="3"/>
  <c r="L154"/>
  <c r="L148"/>
  <c r="L107"/>
  <c r="L105"/>
  <c r="L103"/>
  <c r="L84"/>
  <c r="L83"/>
  <c r="L81"/>
  <c r="L79"/>
  <c r="L68"/>
  <c r="L66"/>
  <c r="L64"/>
  <c r="L63"/>
  <c r="L61"/>
  <c r="L60"/>
  <c r="L48"/>
  <c r="L47"/>
  <c r="L45"/>
  <c r="L40"/>
  <c r="L38"/>
  <c r="L31"/>
  <c r="L30"/>
  <c r="L29"/>
  <c r="L27"/>
  <c r="J40" i="10"/>
  <c r="I40"/>
  <c r="J39"/>
  <c r="I39"/>
  <c r="J38"/>
  <c r="I38"/>
  <c r="J37"/>
  <c r="I37"/>
  <c r="J36"/>
  <c r="I36"/>
  <c r="J35"/>
  <c r="I35"/>
  <c r="J34"/>
  <c r="I34"/>
  <c r="J33"/>
  <c r="I33"/>
  <c r="J32"/>
  <c r="I32"/>
  <c r="E37"/>
  <c r="F37"/>
  <c r="E35"/>
  <c r="F35"/>
  <c r="E61"/>
  <c r="F61"/>
  <c r="E62"/>
  <c r="E63"/>
  <c r="E64"/>
  <c r="E65"/>
  <c r="E68"/>
  <c r="E69"/>
  <c r="E74"/>
  <c r="F62"/>
  <c r="F63"/>
  <c r="F64"/>
  <c r="F65"/>
  <c r="F68"/>
  <c r="F69"/>
  <c r="F74"/>
  <c r="E19"/>
  <c r="J18" i="1"/>
  <c r="M18"/>
  <c r="G5" i="11"/>
  <c r="G9"/>
  <c r="G7"/>
  <c r="G23"/>
  <c r="G16"/>
  <c r="G8"/>
  <c r="G19"/>
  <c r="D92" i="10"/>
  <c r="F7"/>
  <c r="F8"/>
  <c r="E24"/>
  <c r="F24"/>
  <c r="E25"/>
  <c r="F25"/>
  <c r="E26"/>
  <c r="F26"/>
  <c r="F27"/>
  <c r="F19"/>
  <c r="E20"/>
  <c r="F20"/>
  <c r="E21"/>
  <c r="F21"/>
  <c r="F22"/>
  <c r="F10"/>
  <c r="E11"/>
  <c r="F11"/>
  <c r="E12"/>
  <c r="F12"/>
  <c r="E13"/>
  <c r="F13"/>
  <c r="E14"/>
  <c r="F14"/>
  <c r="E15"/>
  <c r="F15"/>
  <c r="E16"/>
  <c r="F16"/>
  <c r="F17"/>
  <c r="E32"/>
  <c r="F32"/>
  <c r="E33"/>
  <c r="F33"/>
  <c r="E34"/>
  <c r="F34"/>
  <c r="E36"/>
  <c r="F36"/>
  <c r="E38"/>
  <c r="F38"/>
  <c r="E39"/>
  <c r="F39"/>
  <c r="E40"/>
  <c r="F40"/>
  <c r="F41"/>
  <c r="G14" i="11"/>
  <c r="G20"/>
  <c r="G6"/>
  <c r="E22" i="10"/>
  <c r="G4" i="11"/>
  <c r="G10"/>
  <c r="G11"/>
  <c r="G12"/>
  <c r="G13"/>
  <c r="G18"/>
  <c r="G17"/>
  <c r="N8" i="1"/>
  <c r="H7" i="6"/>
  <c r="C10" i="21"/>
  <c r="H9" i="6"/>
  <c r="C12" i="21"/>
  <c r="N25" i="1"/>
  <c r="H10" i="6"/>
  <c r="C13" i="21"/>
  <c r="N29" i="1"/>
  <c r="H11" i="6"/>
  <c r="C14" i="21"/>
  <c r="H12" i="6"/>
  <c r="C15" i="21"/>
  <c r="H13" i="6"/>
  <c r="C16" i="21"/>
  <c r="H14" i="6"/>
  <c r="C17" i="21"/>
  <c r="N32" i="1"/>
  <c r="H15" i="6"/>
  <c r="C18" i="21"/>
  <c r="N35" i="1"/>
  <c r="H16" i="6"/>
  <c r="C19" i="21"/>
  <c r="H17" i="6"/>
  <c r="C20" i="21"/>
  <c r="N48" i="1"/>
  <c r="N52"/>
  <c r="H18" i="6"/>
  <c r="C21" i="21"/>
  <c r="H19" i="6"/>
  <c r="E27" i="10"/>
  <c r="E41"/>
  <c r="E8"/>
  <c r="H63" i="6"/>
  <c r="H37" i="21"/>
  <c r="H61" i="6"/>
  <c r="H35" i="21"/>
  <c r="H60" i="6"/>
  <c r="H34" i="21"/>
  <c r="H59" i="6"/>
  <c r="H33" i="21"/>
  <c r="H55" i="6"/>
  <c r="H29" i="21"/>
  <c r="H54" i="6"/>
  <c r="H28" i="21"/>
  <c r="H53" i="6"/>
  <c r="H27" i="21"/>
  <c r="H52" i="6"/>
  <c r="H26" i="21"/>
  <c r="H51" i="6"/>
  <c r="H25" i="21"/>
  <c r="O169" i="3"/>
  <c r="H48" i="6"/>
  <c r="H21" i="21"/>
  <c r="H47" i="6"/>
  <c r="H20" i="21"/>
  <c r="H46" i="6"/>
  <c r="H19" i="21"/>
  <c r="H45" i="6"/>
  <c r="H18" i="21"/>
  <c r="H44" i="6"/>
  <c r="H17" i="21"/>
  <c r="H41" i="6"/>
  <c r="H14" i="21"/>
  <c r="O53" i="3"/>
  <c r="H39" i="6"/>
  <c r="H12" i="21"/>
  <c r="O22" i="3"/>
  <c r="H37" i="6"/>
  <c r="H10" i="21"/>
  <c r="O15" i="3"/>
  <c r="H36" i="6"/>
  <c r="H9" i="21"/>
  <c r="N87" i="2"/>
  <c r="H33" i="6"/>
  <c r="C37" i="21"/>
  <c r="N83" i="2"/>
  <c r="N75"/>
  <c r="H32" i="6"/>
  <c r="C36" i="21"/>
  <c r="H31" i="6"/>
  <c r="C35" i="21"/>
  <c r="H30" i="6"/>
  <c r="C34" i="21"/>
  <c r="H28" i="6"/>
  <c r="C32" i="21"/>
  <c r="N34" i="2"/>
  <c r="H24" i="6"/>
  <c r="C28" i="21"/>
  <c r="N13" i="2"/>
  <c r="H22" i="6"/>
  <c r="C26" i="21"/>
  <c r="N8" i="2"/>
  <c r="H21" i="6"/>
  <c r="C25" i="21"/>
  <c r="N53" i="1"/>
  <c r="R167" i="4"/>
  <c r="I180" i="17"/>
  <c r="R76" i="4"/>
  <c r="I79" i="17"/>
  <c r="R158" i="4"/>
  <c r="I170" i="17"/>
  <c r="R159" i="4"/>
  <c r="I171" i="17"/>
  <c r="R160" i="4"/>
  <c r="I172" i="17"/>
  <c r="R161" i="4"/>
  <c r="I174" i="17"/>
  <c r="R162" i="4"/>
  <c r="I175" i="17"/>
  <c r="R163" i="4"/>
  <c r="I176" i="17"/>
  <c r="R164" i="4"/>
  <c r="I177" i="17"/>
  <c r="R168" i="3"/>
  <c r="I183" i="24"/>
  <c r="R52" i="3"/>
  <c r="I51" i="24"/>
  <c r="R159" i="3"/>
  <c r="I174" i="24"/>
  <c r="R160" i="3"/>
  <c r="I175" i="24"/>
  <c r="R161" i="3"/>
  <c r="I176" i="24"/>
  <c r="R162" i="3"/>
  <c r="I177" i="24"/>
  <c r="R163" i="3"/>
  <c r="I178" i="24"/>
  <c r="R164" i="3"/>
  <c r="I179" i="24"/>
  <c r="R165" i="3"/>
  <c r="I180" i="24"/>
  <c r="Q86" i="2"/>
  <c r="I91" i="20"/>
  <c r="Q18" i="2"/>
  <c r="I18" i="20"/>
  <c r="Q78" i="2"/>
  <c r="I83" i="20"/>
  <c r="Q79" i="2"/>
  <c r="I84" i="20"/>
  <c r="Q80" i="2"/>
  <c r="I85" i="20"/>
  <c r="Q81" i="2"/>
  <c r="I86" i="20"/>
  <c r="Q82" i="2"/>
  <c r="I87" i="20"/>
  <c r="Q51" i="1"/>
  <c r="I50" i="16"/>
  <c r="Q24" i="1"/>
  <c r="I24" i="16"/>
  <c r="Q44" i="1"/>
  <c r="I43" i="16"/>
  <c r="Q45" i="1"/>
  <c r="I44" i="16"/>
  <c r="Q43" i="1"/>
  <c r="I42" i="16"/>
  <c r="Q46" i="1"/>
  <c r="I45" i="16"/>
  <c r="Q47" i="1"/>
  <c r="I46" i="16"/>
  <c r="Q48" i="1"/>
  <c r="I47" i="16"/>
  <c r="E8" i="6"/>
  <c r="E6"/>
  <c r="E29" i="10"/>
  <c r="E30"/>
  <c r="E17"/>
  <c r="B44" i="1"/>
  <c r="B45"/>
  <c r="B46"/>
  <c r="B47"/>
  <c r="G25"/>
  <c r="R48"/>
  <c r="G52"/>
  <c r="G48"/>
  <c r="G41"/>
  <c r="G35"/>
  <c r="G32"/>
  <c r="G29"/>
  <c r="G53"/>
  <c r="B19"/>
  <c r="B20"/>
  <c r="L19" i="2"/>
  <c r="G87"/>
  <c r="G83"/>
  <c r="G75"/>
  <c r="G62"/>
  <c r="G34"/>
  <c r="G13"/>
  <c r="G8"/>
  <c r="H165" i="3"/>
  <c r="H157"/>
  <c r="H150"/>
  <c r="H144"/>
  <c r="H117"/>
  <c r="H53"/>
  <c r="H22"/>
  <c r="H156" i="4"/>
  <c r="H149"/>
  <c r="H143"/>
  <c r="H140"/>
  <c r="H94"/>
  <c r="H71"/>
  <c r="H52"/>
  <c r="H40"/>
  <c r="H22"/>
  <c r="Q77" i="2"/>
  <c r="I82" i="20"/>
  <c r="Q83" i="2"/>
  <c r="I88" i="20"/>
  <c r="R83" i="2"/>
  <c r="N22"/>
  <c r="H23" i="6"/>
  <c r="C27" i="21"/>
  <c r="G22" i="2"/>
  <c r="H38" i="6"/>
  <c r="H11" i="21"/>
  <c r="H41" i="3"/>
  <c r="H133" i="4"/>
  <c r="B77" i="6"/>
  <c r="H29"/>
  <c r="C33" i="21"/>
  <c r="G72" i="2"/>
  <c r="K106" i="4"/>
  <c r="N106"/>
  <c r="G110" i="17"/>
  <c r="K26" i="4"/>
  <c r="N26"/>
  <c r="K28"/>
  <c r="N28"/>
  <c r="G27" i="17"/>
  <c r="R28" i="4"/>
  <c r="I27" i="17"/>
  <c r="K59" i="4"/>
  <c r="N59"/>
  <c r="K27" i="3"/>
  <c r="N27"/>
  <c r="G26" i="24"/>
  <c r="R27" i="3"/>
  <c r="I26" i="24"/>
  <c r="K29" i="3"/>
  <c r="N29"/>
  <c r="K60"/>
  <c r="N60"/>
  <c r="G64" i="24"/>
  <c r="R60" i="3"/>
  <c r="I64" i="24"/>
  <c r="K107" i="3"/>
  <c r="N107"/>
  <c r="B31" i="6"/>
  <c r="C33" i="19"/>
  <c r="B32" i="6"/>
  <c r="C34" i="19"/>
  <c r="B33" i="6"/>
  <c r="C35" i="19"/>
  <c r="D31" i="6"/>
  <c r="E33" i="19"/>
  <c r="D32" i="6"/>
  <c r="E34" i="19"/>
  <c r="D33" i="6"/>
  <c r="E35" i="19"/>
  <c r="C67" i="6"/>
  <c r="D76" i="19"/>
  <c r="L20" i="11"/>
  <c r="K20"/>
  <c r="L13"/>
  <c r="K13"/>
  <c r="P23"/>
  <c r="T23"/>
  <c r="L6"/>
  <c r="K6"/>
  <c r="L12"/>
  <c r="K12"/>
  <c r="L24"/>
  <c r="K24"/>
  <c r="M24"/>
  <c r="M48" i="1"/>
  <c r="G47" i="16"/>
  <c r="M83" i="2"/>
  <c r="G88" i="20"/>
  <c r="N165" i="3"/>
  <c r="G180" i="24"/>
  <c r="P24" i="11"/>
  <c r="T24"/>
  <c r="N164" i="4"/>
  <c r="G177" i="17"/>
  <c r="K15" i="11"/>
  <c r="L15"/>
  <c r="C66" i="6"/>
  <c r="D75" i="19"/>
  <c r="F75"/>
  <c r="E66" i="6"/>
  <c r="C50"/>
  <c r="D53" i="19"/>
  <c r="F53"/>
  <c r="E50" i="6"/>
  <c r="C34"/>
  <c r="D36" i="19"/>
  <c r="F36"/>
  <c r="C18" i="6"/>
  <c r="D19" i="19"/>
  <c r="F19"/>
  <c r="R106" i="4"/>
  <c r="I110" i="17"/>
  <c r="M15" i="11"/>
  <c r="S15"/>
  <c r="Q17"/>
  <c r="M6"/>
  <c r="S6"/>
  <c r="Q6"/>
  <c r="M12"/>
  <c r="S12"/>
  <c r="M20"/>
  <c r="S20"/>
  <c r="M13"/>
  <c r="S13"/>
  <c r="Q13"/>
  <c r="E18" i="6"/>
  <c r="O37" i="2"/>
  <c r="P37"/>
  <c r="F25" i="22"/>
  <c r="M10" i="1"/>
  <c r="J15"/>
  <c r="M15"/>
  <c r="J27"/>
  <c r="M27"/>
  <c r="J31"/>
  <c r="M31"/>
  <c r="J34"/>
  <c r="M34"/>
  <c r="J7" i="2"/>
  <c r="M7"/>
  <c r="J10"/>
  <c r="M10"/>
  <c r="J15"/>
  <c r="M15"/>
  <c r="J24"/>
  <c r="M24"/>
  <c r="J36"/>
  <c r="M36"/>
  <c r="M41"/>
  <c r="J43"/>
  <c r="M43"/>
  <c r="J48"/>
  <c r="M48"/>
  <c r="M51"/>
  <c r="J64"/>
  <c r="M64"/>
  <c r="M72"/>
  <c r="J74"/>
  <c r="K7" i="3"/>
  <c r="N7"/>
  <c r="R7"/>
  <c r="K17"/>
  <c r="N17"/>
  <c r="K24"/>
  <c r="N24"/>
  <c r="K43"/>
  <c r="N43"/>
  <c r="K55"/>
  <c r="N55"/>
  <c r="K74"/>
  <c r="N74"/>
  <c r="K97"/>
  <c r="N97"/>
  <c r="K119"/>
  <c r="N119"/>
  <c r="N134"/>
  <c r="K136"/>
  <c r="N136"/>
  <c r="K143"/>
  <c r="N143"/>
  <c r="K146"/>
  <c r="N146"/>
  <c r="K152"/>
  <c r="N152"/>
  <c r="K7" i="4"/>
  <c r="N7"/>
  <c r="K17"/>
  <c r="N17"/>
  <c r="K24"/>
  <c r="N24"/>
  <c r="K42"/>
  <c r="N42"/>
  <c r="K54"/>
  <c r="N54"/>
  <c r="K73"/>
  <c r="N73"/>
  <c r="K96"/>
  <c r="N96"/>
  <c r="K118"/>
  <c r="N118"/>
  <c r="N133"/>
  <c r="K135"/>
  <c r="N135"/>
  <c r="N140"/>
  <c r="K142"/>
  <c r="N142"/>
  <c r="K145"/>
  <c r="N145"/>
  <c r="G6" i="17"/>
  <c r="R7" i="4"/>
  <c r="G163" i="24"/>
  <c r="R152" i="3"/>
  <c r="G157" i="24"/>
  <c r="R146" i="3"/>
  <c r="G154" i="24"/>
  <c r="N144" i="3"/>
  <c r="R143"/>
  <c r="G129" i="24"/>
  <c r="R119" i="3"/>
  <c r="G102" i="24"/>
  <c r="R97" i="3"/>
  <c r="G78" i="24"/>
  <c r="R74" i="3"/>
  <c r="G6" i="24"/>
  <c r="C31" i="6"/>
  <c r="C32"/>
  <c r="C33"/>
  <c r="M74" i="2"/>
  <c r="G69" i="20"/>
  <c r="Q64" i="2"/>
  <c r="G48" i="20"/>
  <c r="Q48" i="2"/>
  <c r="G36" i="20"/>
  <c r="Q36" i="2"/>
  <c r="G24" i="20"/>
  <c r="Q24" i="2"/>
  <c r="G15" i="20"/>
  <c r="Q15" i="2"/>
  <c r="G10" i="20"/>
  <c r="Q10" i="2"/>
  <c r="G7" i="20"/>
  <c r="M8" i="2"/>
  <c r="Q7"/>
  <c r="G37" i="16"/>
  <c r="G34"/>
  <c r="M35" i="1"/>
  <c r="Q34"/>
  <c r="G31" i="16"/>
  <c r="M32" i="1"/>
  <c r="Q31"/>
  <c r="Q32"/>
  <c r="I32" i="16"/>
  <c r="G27"/>
  <c r="M29" i="1"/>
  <c r="G29" i="16"/>
  <c r="Q27" i="1"/>
  <c r="G15" i="16"/>
  <c r="Q15" i="1"/>
  <c r="G10" i="16"/>
  <c r="M13" i="1"/>
  <c r="G13" i="16"/>
  <c r="Q10" i="1"/>
  <c r="I10" i="16"/>
  <c r="C9" i="6"/>
  <c r="I15" i="16"/>
  <c r="I27"/>
  <c r="C11" i="6"/>
  <c r="C13"/>
  <c r="I31" i="16"/>
  <c r="G32"/>
  <c r="C15" i="6"/>
  <c r="I34" i="16"/>
  <c r="Q35" i="1"/>
  <c r="G35" i="16"/>
  <c r="C16" i="6"/>
  <c r="I37" i="16"/>
  <c r="I7" i="20"/>
  <c r="Q8" i="2"/>
  <c r="G8" i="20"/>
  <c r="C22" i="6"/>
  <c r="I10" i="20"/>
  <c r="I15"/>
  <c r="I24"/>
  <c r="I36"/>
  <c r="I48"/>
  <c r="I69"/>
  <c r="G79"/>
  <c r="Q74" i="2"/>
  <c r="M75"/>
  <c r="D35" i="19"/>
  <c r="F35"/>
  <c r="E33" i="6"/>
  <c r="D34" i="19"/>
  <c r="F34"/>
  <c r="E32" i="6"/>
  <c r="D33" i="19"/>
  <c r="F33"/>
  <c r="E31" i="6"/>
  <c r="I78" i="24"/>
  <c r="I102"/>
  <c r="I129"/>
  <c r="I154"/>
  <c r="R144" i="3"/>
  <c r="I155" i="24"/>
  <c r="G155"/>
  <c r="C47" i="6"/>
  <c r="S144" i="3"/>
  <c r="I157" i="24"/>
  <c r="I163"/>
  <c r="I6" i="17"/>
  <c r="D50" i="19"/>
  <c r="F50"/>
  <c r="E47" i="6"/>
  <c r="G80" i="20"/>
  <c r="I79"/>
  <c r="Q75" i="2"/>
  <c r="D24" i="19"/>
  <c r="E22" i="6"/>
  <c r="I8" i="20"/>
  <c r="R8" i="2"/>
  <c r="D17" i="19"/>
  <c r="F17"/>
  <c r="E16" i="6"/>
  <c r="I35" i="16"/>
  <c r="R35" i="1"/>
  <c r="D16" i="19"/>
  <c r="F16"/>
  <c r="E15" i="6"/>
  <c r="R32" i="1"/>
  <c r="D14" i="19"/>
  <c r="D12"/>
  <c r="D10"/>
  <c r="F24"/>
  <c r="I80" i="20"/>
  <c r="R75" i="2"/>
  <c r="N41" i="3"/>
  <c r="C40" i="6"/>
  <c r="D43" i="19"/>
  <c r="M7" i="1"/>
  <c r="M11" i="2"/>
  <c r="M13"/>
  <c r="N18" i="3"/>
  <c r="G40" i="24"/>
  <c r="G17"/>
  <c r="N22" i="3"/>
  <c r="G21" i="24"/>
  <c r="G7" i="16"/>
  <c r="M8" i="1"/>
  <c r="G8" i="16"/>
  <c r="C7" i="6"/>
  <c r="C39"/>
  <c r="D42" i="19"/>
  <c r="D8"/>
  <c r="I6" i="24"/>
  <c r="G11" i="20"/>
  <c r="G16" i="17"/>
  <c r="N22" i="4"/>
  <c r="R17"/>
  <c r="G17" i="17"/>
  <c r="I16"/>
  <c r="G21"/>
  <c r="C55" i="6"/>
  <c r="D64" i="19"/>
  <c r="P69" i="4"/>
  <c r="Q69"/>
  <c r="P25" i="3"/>
  <c r="Q25"/>
  <c r="P129"/>
  <c r="Q129"/>
  <c r="P166" i="4"/>
  <c r="Q166"/>
  <c r="P154"/>
  <c r="Q154"/>
  <c r="P152"/>
  <c r="Q152"/>
  <c r="P148"/>
  <c r="Q148"/>
  <c r="P146"/>
  <c r="Q146"/>
  <c r="P138"/>
  <c r="Q138"/>
  <c r="P128"/>
  <c r="Q128"/>
  <c r="P120"/>
  <c r="Q120"/>
  <c r="P129"/>
  <c r="Q129"/>
  <c r="P119"/>
  <c r="Q119"/>
  <c r="P115"/>
  <c r="Q115"/>
  <c r="P107"/>
  <c r="Q107"/>
  <c r="P105"/>
  <c r="Q105"/>
  <c r="P103"/>
  <c r="Q103"/>
  <c r="P101"/>
  <c r="Q101"/>
  <c r="P136"/>
  <c r="Q136"/>
  <c r="P100"/>
  <c r="Q100"/>
  <c r="P99"/>
  <c r="Q99"/>
  <c r="P97"/>
  <c r="Q97"/>
  <c r="P93"/>
  <c r="P92"/>
  <c r="Q92"/>
  <c r="H96" i="17"/>
  <c r="P84" i="4"/>
  <c r="Q84"/>
  <c r="H87" i="17"/>
  <c r="P81" i="4"/>
  <c r="Q81"/>
  <c r="H84" i="17"/>
  <c r="P79" i="4"/>
  <c r="Q79"/>
  <c r="H82" i="17"/>
  <c r="P77" i="4"/>
  <c r="Q77"/>
  <c r="H80" i="17"/>
  <c r="P131" i="4"/>
  <c r="Q131"/>
  <c r="P75"/>
  <c r="Q75"/>
  <c r="P74"/>
  <c r="P68"/>
  <c r="Q68"/>
  <c r="P66"/>
  <c r="Q66"/>
  <c r="P64"/>
  <c r="Q64"/>
  <c r="P61"/>
  <c r="Q61"/>
  <c r="P58"/>
  <c r="Q58"/>
  <c r="P56"/>
  <c r="Q56"/>
  <c r="P55"/>
  <c r="P50"/>
  <c r="Q50"/>
  <c r="P48"/>
  <c r="Q48"/>
  <c r="P45"/>
  <c r="Q45"/>
  <c r="H44" i="17"/>
  <c r="P43" i="4"/>
  <c r="Q43"/>
  <c r="P38"/>
  <c r="Q38"/>
  <c r="H37" i="17"/>
  <c r="P36" i="4"/>
  <c r="Q36"/>
  <c r="H35" i="17"/>
  <c r="P35" i="4"/>
  <c r="Q35"/>
  <c r="P34"/>
  <c r="Q34"/>
  <c r="H33" i="17"/>
  <c r="P32" i="4"/>
  <c r="Q32"/>
  <c r="P31"/>
  <c r="Q31"/>
  <c r="H30" i="17"/>
  <c r="P27" i="4"/>
  <c r="Q27"/>
  <c r="H26" i="17"/>
  <c r="P25" i="4"/>
  <c r="Q25"/>
  <c r="P21"/>
  <c r="Q21"/>
  <c r="P19"/>
  <c r="Q19"/>
  <c r="H18" i="17"/>
  <c r="P18" i="4"/>
  <c r="Q18"/>
  <c r="P8"/>
  <c r="Q8"/>
  <c r="P167" i="3"/>
  <c r="Q167"/>
  <c r="P155"/>
  <c r="Q155"/>
  <c r="H170" i="24"/>
  <c r="P153" i="3"/>
  <c r="Q153"/>
  <c r="P149"/>
  <c r="Q149"/>
  <c r="P147"/>
  <c r="Q147"/>
  <c r="P139"/>
  <c r="P121"/>
  <c r="Q121"/>
  <c r="P130"/>
  <c r="Q130"/>
  <c r="P120"/>
  <c r="Q120"/>
  <c r="P116"/>
  <c r="Q116"/>
  <c r="P108"/>
  <c r="Q108"/>
  <c r="P106"/>
  <c r="Q106"/>
  <c r="P104"/>
  <c r="Q104"/>
  <c r="P102"/>
  <c r="Q102"/>
  <c r="P101"/>
  <c r="Q101"/>
  <c r="P100"/>
  <c r="Q100"/>
  <c r="P98"/>
  <c r="Q98"/>
  <c r="P94"/>
  <c r="P93"/>
  <c r="Q93"/>
  <c r="H98" i="24"/>
  <c r="Q89" i="3"/>
  <c r="P85"/>
  <c r="Q85"/>
  <c r="P82"/>
  <c r="Q82"/>
  <c r="P80"/>
  <c r="Q80"/>
  <c r="P78"/>
  <c r="Q78"/>
  <c r="P137"/>
  <c r="Q137"/>
  <c r="P76"/>
  <c r="Q76"/>
  <c r="P75"/>
  <c r="P132"/>
  <c r="Q132"/>
  <c r="P70"/>
  <c r="Q70"/>
  <c r="P69"/>
  <c r="Q69"/>
  <c r="P67"/>
  <c r="Q67"/>
  <c r="H71" i="24"/>
  <c r="P65" i="3"/>
  <c r="Q65"/>
  <c r="H69" i="24"/>
  <c r="P62" i="3"/>
  <c r="Q62"/>
  <c r="H66" i="24"/>
  <c r="P59" i="3"/>
  <c r="Q59"/>
  <c r="H63" i="24"/>
  <c r="P57" i="3"/>
  <c r="Q57"/>
  <c r="P56"/>
  <c r="P49"/>
  <c r="Q49"/>
  <c r="P51"/>
  <c r="Q51"/>
  <c r="P46"/>
  <c r="Q46"/>
  <c r="P44"/>
  <c r="Q44"/>
  <c r="P39"/>
  <c r="Q39"/>
  <c r="P37"/>
  <c r="Q37"/>
  <c r="P36"/>
  <c r="Q36"/>
  <c r="P35"/>
  <c r="Q35"/>
  <c r="P33"/>
  <c r="Q33"/>
  <c r="P32"/>
  <c r="Q32"/>
  <c r="P28"/>
  <c r="Q28"/>
  <c r="P26"/>
  <c r="Q26"/>
  <c r="P21"/>
  <c r="Q21"/>
  <c r="P19"/>
  <c r="Q19"/>
  <c r="P18"/>
  <c r="Q18"/>
  <c r="P8"/>
  <c r="Q8"/>
  <c r="O85" i="2"/>
  <c r="P85"/>
  <c r="O70"/>
  <c r="P70"/>
  <c r="O67"/>
  <c r="P67"/>
  <c r="O69"/>
  <c r="P69"/>
  <c r="O50"/>
  <c r="P50"/>
  <c r="O49"/>
  <c r="P49"/>
  <c r="P51"/>
  <c r="O65"/>
  <c r="P65"/>
  <c r="O45"/>
  <c r="P45"/>
  <c r="O44"/>
  <c r="P44"/>
  <c r="P46"/>
  <c r="O40"/>
  <c r="P40"/>
  <c r="H40" i="20"/>
  <c r="O39" i="2"/>
  <c r="P39"/>
  <c r="O38"/>
  <c r="P38"/>
  <c r="H38" i="20"/>
  <c r="O33" i="2"/>
  <c r="P33"/>
  <c r="Q33"/>
  <c r="I33" i="20"/>
  <c r="O32" i="2"/>
  <c r="O31"/>
  <c r="P31"/>
  <c r="O30"/>
  <c r="P30"/>
  <c r="O29"/>
  <c r="P29"/>
  <c r="O28"/>
  <c r="P28"/>
  <c r="H28" i="20"/>
  <c r="O27" i="2"/>
  <c r="P27"/>
  <c r="O26"/>
  <c r="P26"/>
  <c r="O21"/>
  <c r="P21"/>
  <c r="O20"/>
  <c r="P20"/>
  <c r="O17"/>
  <c r="P17"/>
  <c r="H17" i="20"/>
  <c r="O16" i="2"/>
  <c r="P16"/>
  <c r="O12"/>
  <c r="P12"/>
  <c r="O11"/>
  <c r="P11"/>
  <c r="O50" i="1"/>
  <c r="P50"/>
  <c r="O28"/>
  <c r="P28"/>
  <c r="O22"/>
  <c r="P22"/>
  <c r="H22" i="16"/>
  <c r="O21" i="1"/>
  <c r="P21"/>
  <c r="H21" i="16"/>
  <c r="O20" i="1"/>
  <c r="P20"/>
  <c r="H20" i="16"/>
  <c r="O19" i="1"/>
  <c r="P19"/>
  <c r="H19" i="16"/>
  <c r="O17" i="1"/>
  <c r="P17"/>
  <c r="H17" i="16"/>
  <c r="O16" i="1"/>
  <c r="P16"/>
  <c r="O12"/>
  <c r="P12"/>
  <c r="Q12"/>
  <c r="I12" i="16"/>
  <c r="O11" i="1"/>
  <c r="P11"/>
  <c r="H11" i="16"/>
  <c r="O7" i="1"/>
  <c r="P7"/>
  <c r="H7" i="16"/>
  <c r="P8" i="1"/>
  <c r="P13"/>
  <c r="H12" i="16"/>
  <c r="O25" i="1"/>
  <c r="H33" i="20"/>
  <c r="H39"/>
  <c r="Q40" i="2"/>
  <c r="I40" i="20"/>
  <c r="H45"/>
  <c r="H49"/>
  <c r="H50"/>
  <c r="H74"/>
  <c r="H63"/>
  <c r="H64"/>
  <c r="H65"/>
  <c r="H72"/>
  <c r="H76"/>
  <c r="H90"/>
  <c r="P87" i="2"/>
  <c r="H7" i="24"/>
  <c r="H17"/>
  <c r="Q22" i="3"/>
  <c r="R18"/>
  <c r="H18" i="24"/>
  <c r="H20"/>
  <c r="H25"/>
  <c r="H27"/>
  <c r="H31"/>
  <c r="H32"/>
  <c r="H34"/>
  <c r="H35"/>
  <c r="R36" i="3"/>
  <c r="I35" i="24"/>
  <c r="H36"/>
  <c r="H38"/>
  <c r="H43"/>
  <c r="Q53" i="3"/>
  <c r="H45" i="24"/>
  <c r="H50"/>
  <c r="R51" i="3"/>
  <c r="I50" i="24"/>
  <c r="H48"/>
  <c r="H80"/>
  <c r="R76" i="3"/>
  <c r="H148" i="24"/>
  <c r="H82"/>
  <c r="H84"/>
  <c r="H86"/>
  <c r="H89"/>
  <c r="H94"/>
  <c r="H103"/>
  <c r="H105"/>
  <c r="H106"/>
  <c r="H107"/>
  <c r="H109"/>
  <c r="H115"/>
  <c r="H117"/>
  <c r="R108" i="3"/>
  <c r="I117" i="24"/>
  <c r="H126"/>
  <c r="H130"/>
  <c r="H141"/>
  <c r="H131"/>
  <c r="Q139" i="3"/>
  <c r="H59" i="17"/>
  <c r="Q71" i="4"/>
  <c r="H61" i="17"/>
  <c r="H64"/>
  <c r="H67"/>
  <c r="H69"/>
  <c r="H71"/>
  <c r="R68" i="4"/>
  <c r="I71" i="17"/>
  <c r="H101"/>
  <c r="H103"/>
  <c r="H104"/>
  <c r="H145"/>
  <c r="R136" i="4"/>
  <c r="I145" i="17"/>
  <c r="H105"/>
  <c r="H107"/>
  <c r="H109"/>
  <c r="H114"/>
  <c r="R107" i="4"/>
  <c r="I114" i="17"/>
  <c r="H123"/>
  <c r="H127"/>
  <c r="H138"/>
  <c r="H128"/>
  <c r="H137"/>
  <c r="H147"/>
  <c r="Q140" i="4"/>
  <c r="H155" i="17"/>
  <c r="Q149" i="4"/>
  <c r="H157" i="17"/>
  <c r="R148" i="4"/>
  <c r="I157" i="17"/>
  <c r="H161"/>
  <c r="Q156" i="4"/>
  <c r="D65" i="6"/>
  <c r="E74" i="19"/>
  <c r="H163" i="17"/>
  <c r="H179"/>
  <c r="Q168" i="4"/>
  <c r="H140" i="24"/>
  <c r="R25" i="3"/>
  <c r="H24" i="24"/>
  <c r="Q41" i="3"/>
  <c r="H72" i="17"/>
  <c r="H40" i="24"/>
  <c r="D40" i="6"/>
  <c r="E43" i="19"/>
  <c r="I24" i="24"/>
  <c r="H181" i="17"/>
  <c r="D67" i="6"/>
  <c r="H165" i="17"/>
  <c r="H158"/>
  <c r="D64" i="6"/>
  <c r="H149" i="17"/>
  <c r="D62" i="6"/>
  <c r="H74" i="17"/>
  <c r="D58" i="6"/>
  <c r="H150" i="24"/>
  <c r="I80"/>
  <c r="H52"/>
  <c r="D41" i="6"/>
  <c r="I17" i="24"/>
  <c r="H21"/>
  <c r="D39" i="6"/>
  <c r="H92" i="20"/>
  <c r="D35" i="6"/>
  <c r="E37" i="19"/>
  <c r="H13" i="16"/>
  <c r="D9" i="6"/>
  <c r="H8" i="16"/>
  <c r="D7" i="6"/>
  <c r="Q8" i="1"/>
  <c r="I8" i="16"/>
  <c r="R8" i="1"/>
  <c r="E8" i="19"/>
  <c r="E7" i="6"/>
  <c r="E10" i="19"/>
  <c r="F10"/>
  <c r="E9" i="6"/>
  <c r="E42" i="19"/>
  <c r="E44"/>
  <c r="E67"/>
  <c r="E71"/>
  <c r="E73"/>
  <c r="E76"/>
  <c r="F8"/>
  <c r="Q141" i="3"/>
  <c r="G144" i="24"/>
  <c r="G151"/>
  <c r="G126" i="17"/>
  <c r="R118" i="4"/>
  <c r="I126" i="17"/>
  <c r="R137" i="4"/>
  <c r="I146" i="17"/>
  <c r="O94" i="4"/>
  <c r="H56" i="6"/>
  <c r="H30" i="21"/>
  <c r="Q88" i="4"/>
  <c r="O116"/>
  <c r="H57" i="6"/>
  <c r="H31" i="21"/>
  <c r="Q110" i="4"/>
  <c r="Q123"/>
  <c r="H152" i="24"/>
  <c r="D46" i="6"/>
  <c r="E49" i="19"/>
  <c r="R138" i="3"/>
  <c r="I149" i="24"/>
  <c r="R131" i="3"/>
  <c r="I142" i="24"/>
  <c r="O72" i="3"/>
  <c r="Q124"/>
  <c r="H135" i="24"/>
  <c r="Q111" i="3"/>
  <c r="O117"/>
  <c r="H42" i="6"/>
  <c r="G71" i="20"/>
  <c r="I71"/>
  <c r="G66"/>
  <c r="G75"/>
  <c r="Q66" i="2"/>
  <c r="I62" i="20"/>
  <c r="O25" i="2"/>
  <c r="P25"/>
  <c r="P9" i="3"/>
  <c r="Q9"/>
  <c r="H132" i="17"/>
  <c r="H118"/>
  <c r="H92"/>
  <c r="G145" i="24"/>
  <c r="C45" i="6"/>
  <c r="D48" i="19"/>
  <c r="H15" i="21"/>
  <c r="H121" i="24"/>
  <c r="H43" i="6"/>
  <c r="H16" i="21"/>
  <c r="G77" i="20"/>
  <c r="C30" i="6"/>
  <c r="D32" i="19"/>
  <c r="G41" i="20"/>
  <c r="C26" i="6"/>
  <c r="D28" i="19"/>
  <c r="H25" i="6"/>
  <c r="C29" i="21"/>
  <c r="H26" i="6"/>
  <c r="C30" i="21"/>
  <c r="G88" i="2"/>
  <c r="G51" i="20"/>
  <c r="C28" i="6"/>
  <c r="D30" i="19"/>
  <c r="N88" i="2"/>
  <c r="H27" i="6"/>
  <c r="C31" i="21"/>
  <c r="H170" i="3"/>
  <c r="O170"/>
  <c r="H40" i="6"/>
  <c r="H49"/>
  <c r="H13" i="21"/>
  <c r="G154" i="17"/>
  <c r="N149" i="4"/>
  <c r="G158" i="17"/>
  <c r="R145" i="4"/>
  <c r="G151" i="17"/>
  <c r="N143" i="4"/>
  <c r="R142"/>
  <c r="R143"/>
  <c r="I152" i="17"/>
  <c r="G144"/>
  <c r="R135" i="4"/>
  <c r="I144" i="17"/>
  <c r="G142"/>
  <c r="C61" i="6"/>
  <c r="D70" i="19"/>
  <c r="G100" i="17"/>
  <c r="R96" i="4"/>
  <c r="N116"/>
  <c r="C60" i="6"/>
  <c r="D69" i="19"/>
  <c r="G76" i="17"/>
  <c r="R73" i="4"/>
  <c r="I76" i="17"/>
  <c r="G53"/>
  <c r="R54" i="4"/>
  <c r="N71"/>
  <c r="G41" i="17"/>
  <c r="N52" i="4"/>
  <c r="R42"/>
  <c r="I41" i="17"/>
  <c r="G23"/>
  <c r="R24" i="4"/>
  <c r="N40"/>
  <c r="N156"/>
  <c r="C65" i="6"/>
  <c r="D74" i="19"/>
  <c r="G160" i="17"/>
  <c r="R151" i="4"/>
  <c r="I160" i="17"/>
  <c r="G165"/>
  <c r="G39"/>
  <c r="C56" i="6"/>
  <c r="I23" i="17"/>
  <c r="G51"/>
  <c r="C57" i="6"/>
  <c r="G74" i="17"/>
  <c r="C58" i="6"/>
  <c r="I53" i="17"/>
  <c r="G124"/>
  <c r="I100"/>
  <c r="I151"/>
  <c r="G152"/>
  <c r="C63" i="6"/>
  <c r="S143" i="4"/>
  <c r="I154" i="17"/>
  <c r="C64" i="6"/>
  <c r="D73" i="19"/>
  <c r="D72"/>
  <c r="F72"/>
  <c r="E63" i="6"/>
  <c r="D67" i="19"/>
  <c r="D66"/>
  <c r="D65"/>
  <c r="B20" i="9"/>
  <c r="C19"/>
  <c r="B18"/>
  <c r="B17"/>
  <c r="C17"/>
  <c r="E47" i="7"/>
  <c r="E46"/>
  <c r="E45"/>
  <c r="E44"/>
  <c r="E43"/>
  <c r="E42"/>
  <c r="E41"/>
  <c r="E40"/>
  <c r="E39"/>
  <c r="E25"/>
  <c r="E24" i="22"/>
  <c r="E24" i="7"/>
  <c r="E23" i="22"/>
  <c r="E23" i="7"/>
  <c r="E22" i="22"/>
  <c r="E22" i="7"/>
  <c r="E21" i="22"/>
  <c r="E21" i="7"/>
  <c r="E20" i="22"/>
  <c r="E20" i="7"/>
  <c r="E19" i="22"/>
  <c r="E19" i="7"/>
  <c r="E18" i="22"/>
  <c r="E18" i="7"/>
  <c r="E17" i="22"/>
  <c r="E17" i="7"/>
  <c r="E16" i="22"/>
  <c r="K16" i="7"/>
  <c r="H15" i="22"/>
  <c r="H12" i="26"/>
  <c r="D17" i="7"/>
  <c r="D16" i="22"/>
  <c r="D18" i="7"/>
  <c r="D17" i="22"/>
  <c r="D19" i="7"/>
  <c r="D18" i="22"/>
  <c r="D20" i="7"/>
  <c r="D19" i="22"/>
  <c r="D21" i="7"/>
  <c r="D20" i="22"/>
  <c r="D22" i="7"/>
  <c r="D21" i="22"/>
  <c r="D24" i="7"/>
  <c r="D23" i="22"/>
  <c r="D25" i="7"/>
  <c r="D24" i="22"/>
  <c r="D23" i="7"/>
  <c r="D22" i="22"/>
  <c r="H16" i="26"/>
  <c r="G23" i="27"/>
  <c r="C18" i="9"/>
  <c r="A44"/>
  <c r="D19"/>
  <c r="A45"/>
  <c r="N6"/>
  <c r="E5" i="23"/>
  <c r="J44" i="9"/>
  <c r="A96"/>
  <c r="A85"/>
  <c r="A71"/>
  <c r="A58"/>
  <c r="B21"/>
  <c r="C21"/>
  <c r="C20"/>
  <c r="A46"/>
  <c r="D20"/>
  <c r="B86"/>
  <c r="J45"/>
  <c r="A47" i="23"/>
  <c r="A86" i="9"/>
  <c r="A59"/>
  <c r="A46" i="23"/>
  <c r="B96" i="9"/>
  <c r="B85"/>
  <c r="B71"/>
  <c r="B58"/>
  <c r="B45"/>
  <c r="J31"/>
  <c r="A33" i="23"/>
  <c r="D18" i="9"/>
  <c r="B84"/>
  <c r="J43"/>
  <c r="A45" i="23"/>
  <c r="A84" i="9"/>
  <c r="A57"/>
  <c r="B95"/>
  <c r="B70"/>
  <c r="B44"/>
  <c r="B97"/>
  <c r="B72"/>
  <c r="B46"/>
  <c r="K12"/>
  <c r="M12"/>
  <c r="K23"/>
  <c r="M23"/>
  <c r="J34"/>
  <c r="L34"/>
  <c r="G18" i="27"/>
  <c r="D12" i="24"/>
  <c r="K17" i="7"/>
  <c r="K18"/>
  <c r="K45"/>
  <c r="K25"/>
  <c r="K24"/>
  <c r="H23" i="22"/>
  <c r="K23" i="7"/>
  <c r="K22"/>
  <c r="H21" i="22"/>
  <c r="K21" i="7"/>
  <c r="K20"/>
  <c r="H19" i="22"/>
  <c r="K19" i="7"/>
  <c r="K38"/>
  <c r="K37"/>
  <c r="K48"/>
  <c r="K15"/>
  <c r="H14" i="22"/>
  <c r="K26" i="7"/>
  <c r="H18" i="22"/>
  <c r="H20"/>
  <c r="H22"/>
  <c r="H24"/>
  <c r="H17"/>
  <c r="H16"/>
  <c r="U13" i="11"/>
  <c r="H16" i="2"/>
  <c r="I16"/>
  <c r="F16" i="20"/>
  <c r="U6" i="11"/>
  <c r="H30" i="2"/>
  <c r="I30"/>
  <c r="F30" i="20"/>
  <c r="U14" i="11"/>
  <c r="U16"/>
  <c r="I8" i="4"/>
  <c r="J8"/>
  <c r="I21"/>
  <c r="J21"/>
  <c r="F20" i="17"/>
  <c r="I131" i="4"/>
  <c r="J131"/>
  <c r="F140" i="17"/>
  <c r="I99" i="4"/>
  <c r="J99"/>
  <c r="I129"/>
  <c r="J129"/>
  <c r="I138"/>
  <c r="J138"/>
  <c r="I8" i="3"/>
  <c r="J8"/>
  <c r="I21"/>
  <c r="J21"/>
  <c r="I132"/>
  <c r="J132"/>
  <c r="F143" i="24"/>
  <c r="I137" i="3"/>
  <c r="J137"/>
  <c r="I100"/>
  <c r="J100"/>
  <c r="I130"/>
  <c r="J130"/>
  <c r="I139"/>
  <c r="J139"/>
  <c r="F70" i="20"/>
  <c r="H65" i="2"/>
  <c r="I65"/>
  <c r="F61" i="20"/>
  <c r="H69" i="2"/>
  <c r="I69"/>
  <c r="I90" i="4"/>
  <c r="J90"/>
  <c r="I113"/>
  <c r="J113"/>
  <c r="I126"/>
  <c r="J126"/>
  <c r="I91" i="3"/>
  <c r="J91"/>
  <c r="I114"/>
  <c r="J114"/>
  <c r="I127"/>
  <c r="J127"/>
  <c r="I91" i="4"/>
  <c r="J91"/>
  <c r="I114"/>
  <c r="J114"/>
  <c r="I127"/>
  <c r="J127"/>
  <c r="I92" i="3"/>
  <c r="J92"/>
  <c r="I115"/>
  <c r="J115"/>
  <c r="I128"/>
  <c r="J128"/>
  <c r="H4" i="11"/>
  <c r="I4"/>
  <c r="I56" i="4"/>
  <c r="J56"/>
  <c r="I70" i="3"/>
  <c r="I33"/>
  <c r="J33"/>
  <c r="I57"/>
  <c r="J57"/>
  <c r="F61" i="24"/>
  <c r="I49" i="3"/>
  <c r="J49"/>
  <c r="I32" i="4"/>
  <c r="J32"/>
  <c r="F31" i="17"/>
  <c r="I48" i="4"/>
  <c r="J48"/>
  <c r="F47" i="17"/>
  <c r="J70" i="3"/>
  <c r="I85"/>
  <c r="J85"/>
  <c r="F89" i="24"/>
  <c r="I98" i="3"/>
  <c r="F74" i="24"/>
  <c r="J98" i="3"/>
  <c r="F103" i="24"/>
  <c r="I121" i="3"/>
  <c r="J121"/>
  <c r="F131" i="24"/>
  <c r="R85" i="3"/>
  <c r="I89" i="24"/>
  <c r="R121" i="3"/>
  <c r="R98"/>
  <c r="I103" i="24"/>
  <c r="I131"/>
  <c r="O169" i="4"/>
  <c r="H58" i="6"/>
  <c r="H32" i="21"/>
  <c r="H64" i="6"/>
  <c r="G149" i="17"/>
  <c r="C62" i="6"/>
  <c r="D71" i="19"/>
  <c r="G88" i="17"/>
  <c r="R85" i="4"/>
  <c r="N94"/>
  <c r="C59" i="6"/>
  <c r="D68" i="19"/>
  <c r="K86" i="3"/>
  <c r="N86"/>
  <c r="N95"/>
  <c r="C43" i="6"/>
  <c r="D46" i="19"/>
  <c r="R86" i="3"/>
  <c r="G90" i="24"/>
  <c r="I88" i="17"/>
  <c r="I90" i="24"/>
  <c r="Q37" i="2"/>
  <c r="H37" i="20"/>
  <c r="P41" i="2"/>
  <c r="D26" i="6"/>
  <c r="E28" i="19"/>
  <c r="P113" i="3"/>
  <c r="Q113"/>
  <c r="R113"/>
  <c r="I123" i="24"/>
  <c r="P126" i="3"/>
  <c r="Q126"/>
  <c r="R126"/>
  <c r="I137" i="24"/>
  <c r="P112" i="4"/>
  <c r="Q112"/>
  <c r="R112"/>
  <c r="I120" i="17"/>
  <c r="P125" i="4"/>
  <c r="Q125"/>
  <c r="R125"/>
  <c r="I134" i="17"/>
  <c r="G40" i="27"/>
  <c r="H134" i="17"/>
  <c r="H120"/>
  <c r="H137" i="24"/>
  <c r="H123"/>
  <c r="H41" i="20"/>
  <c r="I37"/>
  <c r="G27" i="27"/>
  <c r="H25" i="9"/>
  <c r="E64"/>
  <c r="G64"/>
  <c r="N11" i="4"/>
  <c r="M12"/>
  <c r="N12"/>
  <c r="M11" i="3"/>
  <c r="C40" i="19"/>
  <c r="G2" i="24"/>
  <c r="G19" i="27"/>
  <c r="G18" i="26"/>
  <c r="E8" i="9"/>
  <c r="E78"/>
  <c r="G78"/>
  <c r="E51"/>
  <c r="G51"/>
  <c r="M86" i="4"/>
  <c r="Q86"/>
  <c r="M87"/>
  <c r="Q87"/>
  <c r="M89"/>
  <c r="Q89"/>
  <c r="M108"/>
  <c r="Q108"/>
  <c r="M109"/>
  <c r="Q109"/>
  <c r="M111"/>
  <c r="Q111"/>
  <c r="M121"/>
  <c r="Q121"/>
  <c r="M122"/>
  <c r="Q122"/>
  <c r="M124"/>
  <c r="Q124"/>
  <c r="G10" i="17"/>
  <c r="R11" i="4"/>
  <c r="N11" i="3"/>
  <c r="M12"/>
  <c r="D61" i="19"/>
  <c r="E9" i="9"/>
  <c r="G20" i="27"/>
  <c r="G2" i="17"/>
  <c r="K43" i="9"/>
  <c r="K19"/>
  <c r="B19" i="23"/>
  <c r="E89" i="9"/>
  <c r="K21"/>
  <c r="B21" i="23"/>
  <c r="I10" i="17"/>
  <c r="N12" i="3"/>
  <c r="M125"/>
  <c r="Q125"/>
  <c r="M123"/>
  <c r="Q123"/>
  <c r="M122"/>
  <c r="Q122"/>
  <c r="M112"/>
  <c r="Q112"/>
  <c r="M110"/>
  <c r="Q110"/>
  <c r="M109"/>
  <c r="Q109"/>
  <c r="M90"/>
  <c r="Q90"/>
  <c r="M88"/>
  <c r="Q88"/>
  <c r="M87"/>
  <c r="Q87"/>
  <c r="R11"/>
  <c r="G10" i="24"/>
  <c r="N180" i="3"/>
  <c r="N15"/>
  <c r="G89" i="9"/>
  <c r="K46"/>
  <c r="K22"/>
  <c r="B22" i="23"/>
  <c r="B45"/>
  <c r="Q43" i="9"/>
  <c r="H45" i="23"/>
  <c r="G14" i="24"/>
  <c r="C38" i="6"/>
  <c r="I10" i="24"/>
  <c r="R12" i="3"/>
  <c r="I11" i="24"/>
  <c r="G11"/>
  <c r="B48" i="23"/>
  <c r="K33" i="9"/>
  <c r="K11"/>
  <c r="B10" i="23"/>
  <c r="G97" i="9"/>
  <c r="G96"/>
  <c r="G95"/>
  <c r="D41" i="19"/>
  <c r="B35" i="23"/>
  <c r="O20" i="11"/>
  <c r="P20"/>
  <c r="Q20"/>
  <c r="T20"/>
  <c r="U20"/>
  <c r="I124" i="3"/>
  <c r="J124"/>
  <c r="P4" i="11"/>
  <c r="T4"/>
  <c r="Q4"/>
  <c r="I89" i="3"/>
  <c r="J89"/>
  <c r="I111"/>
  <c r="J111"/>
  <c r="I88" i="4"/>
  <c r="J88"/>
  <c r="I110"/>
  <c r="J110"/>
  <c r="I123"/>
  <c r="J123"/>
  <c r="O21" i="11"/>
  <c r="P21"/>
  <c r="H67" i="27"/>
  <c r="I67"/>
  <c r="R124" i="3"/>
  <c r="I135" i="24"/>
  <c r="F135"/>
  <c r="Q21" i="11"/>
  <c r="T21"/>
  <c r="U21"/>
  <c r="R110" i="4"/>
  <c r="I118" i="17"/>
  <c r="F118"/>
  <c r="R111" i="3"/>
  <c r="I121" i="24"/>
  <c r="F121"/>
  <c r="R123" i="4"/>
  <c r="I132" i="17"/>
  <c r="F132"/>
  <c r="R88" i="4"/>
  <c r="I92" i="17"/>
  <c r="F92"/>
  <c r="R89" i="3"/>
  <c r="I94" i="24"/>
  <c r="F94"/>
  <c r="R87" i="3"/>
  <c r="I92" i="24"/>
  <c r="Q95" i="3"/>
  <c r="H92" i="24"/>
  <c r="Q180" i="3"/>
  <c r="R90"/>
  <c r="I95" i="24"/>
  <c r="H95"/>
  <c r="H120"/>
  <c r="R110" i="3"/>
  <c r="I120" i="24"/>
  <c r="H133"/>
  <c r="R122" i="3"/>
  <c r="I133" i="24"/>
  <c r="Q134" i="3"/>
  <c r="R125"/>
  <c r="I136" i="24"/>
  <c r="H136"/>
  <c r="H133" i="17"/>
  <c r="R124" i="4"/>
  <c r="I133" i="17"/>
  <c r="H130"/>
  <c r="R121" i="4"/>
  <c r="I130" i="17"/>
  <c r="Q133" i="4"/>
  <c r="R109"/>
  <c r="I117" i="17"/>
  <c r="H117"/>
  <c r="H93"/>
  <c r="R89" i="4"/>
  <c r="I93" i="17"/>
  <c r="H90"/>
  <c r="Q176" i="4"/>
  <c r="R86"/>
  <c r="I90" i="17"/>
  <c r="Q94" i="4"/>
  <c r="K10" i="9"/>
  <c r="B9" i="23"/>
  <c r="G85" i="9"/>
  <c r="K32"/>
  <c r="B34" i="23"/>
  <c r="G86" i="9"/>
  <c r="G84"/>
  <c r="H93" i="24"/>
  <c r="R88" i="3"/>
  <c r="I93" i="24"/>
  <c r="H119"/>
  <c r="R109" i="3"/>
  <c r="I119" i="24"/>
  <c r="Q117" i="3"/>
  <c r="R112"/>
  <c r="I122" i="24"/>
  <c r="H122"/>
  <c r="H134"/>
  <c r="R123" i="3"/>
  <c r="I134" i="24"/>
  <c r="Q5" i="11"/>
  <c r="Q8"/>
  <c r="Q9"/>
  <c r="Q10"/>
  <c r="Q11"/>
  <c r="Q12"/>
  <c r="Q15"/>
  <c r="Q19"/>
  <c r="Q27"/>
  <c r="R122" i="4"/>
  <c r="I131" i="17"/>
  <c r="H131"/>
  <c r="H119"/>
  <c r="R111" i="4"/>
  <c r="I119" i="17"/>
  <c r="H116"/>
  <c r="R108" i="4"/>
  <c r="I116" i="17"/>
  <c r="Q116" i="4"/>
  <c r="R87"/>
  <c r="I91" i="17"/>
  <c r="H91"/>
  <c r="K30" i="9"/>
  <c r="B32" i="23"/>
  <c r="G58" i="9"/>
  <c r="K8"/>
  <c r="B7" i="23"/>
  <c r="N181" i="4"/>
  <c r="R12"/>
  <c r="I11" i="17"/>
  <c r="N15" i="4"/>
  <c r="G11" i="17"/>
  <c r="K9" i="9"/>
  <c r="B8" i="23"/>
  <c r="G71" i="9"/>
  <c r="G72"/>
  <c r="K31"/>
  <c r="G70"/>
  <c r="P27" i="11"/>
  <c r="F48" i="24"/>
  <c r="R49" i="3"/>
  <c r="I48" i="24"/>
  <c r="F32"/>
  <c r="R33" i="3"/>
  <c r="I32" i="24"/>
  <c r="R56" i="4"/>
  <c r="I59" i="17"/>
  <c r="F59"/>
  <c r="F125" i="24"/>
  <c r="R115" i="3"/>
  <c r="I125" i="24"/>
  <c r="F136" i="17"/>
  <c r="R127" i="4"/>
  <c r="I136" i="17"/>
  <c r="F95"/>
  <c r="R91" i="4"/>
  <c r="I95" i="17"/>
  <c r="R114" i="3"/>
  <c r="I124" i="24"/>
  <c r="F124"/>
  <c r="F135" i="17"/>
  <c r="R126" i="4"/>
  <c r="I135" i="17"/>
  <c r="F94"/>
  <c r="R90" i="4"/>
  <c r="I94" i="17"/>
  <c r="F74" i="20"/>
  <c r="Q69" i="2"/>
  <c r="I74" i="20"/>
  <c r="F141" i="24"/>
  <c r="R130" i="3"/>
  <c r="I141" i="24"/>
  <c r="R137" i="3"/>
  <c r="I148" i="24"/>
  <c r="F148"/>
  <c r="J141" i="3"/>
  <c r="R21"/>
  <c r="I20" i="24"/>
  <c r="F20"/>
  <c r="J140" i="4"/>
  <c r="F147" i="17"/>
  <c r="R138" i="4"/>
  <c r="R99"/>
  <c r="I103" i="17"/>
  <c r="F103"/>
  <c r="D21" i="9"/>
  <c r="A47"/>
  <c r="A87"/>
  <c r="A60"/>
  <c r="J46"/>
  <c r="A98"/>
  <c r="A73"/>
  <c r="M6"/>
  <c r="D5" i="23"/>
  <c r="M17" i="9"/>
  <c r="D17" i="23"/>
  <c r="Q25" i="2"/>
  <c r="H25" i="20"/>
  <c r="P34" i="2"/>
  <c r="H38" i="16"/>
  <c r="H16"/>
  <c r="Q16" i="1"/>
  <c r="P25"/>
  <c r="P29"/>
  <c r="H28" i="16"/>
  <c r="P13" i="2"/>
  <c r="H11" i="20"/>
  <c r="Q11" i="2"/>
  <c r="P22"/>
  <c r="Q16"/>
  <c r="H16" i="20"/>
  <c r="H20"/>
  <c r="Q20" i="2"/>
  <c r="I20" i="20"/>
  <c r="H26"/>
  <c r="Q26" i="2"/>
  <c r="I26" i="20"/>
  <c r="H30"/>
  <c r="Q30" i="2"/>
  <c r="I30" i="20"/>
  <c r="D27" i="6"/>
  <c r="E29" i="19"/>
  <c r="H46" i="20"/>
  <c r="H61"/>
  <c r="Q65" i="2"/>
  <c r="P72"/>
  <c r="H61" i="24"/>
  <c r="R57" i="3"/>
  <c r="I61" i="24"/>
  <c r="Q72" i="3"/>
  <c r="H74" i="24"/>
  <c r="R70" i="3"/>
  <c r="I74" i="24"/>
  <c r="R149" i="3"/>
  <c r="I160" i="24"/>
  <c r="H160"/>
  <c r="H7" i="17"/>
  <c r="R8" i="4"/>
  <c r="Q40"/>
  <c r="H24" i="17"/>
  <c r="H42"/>
  <c r="Q52" i="4"/>
  <c r="H47" i="17"/>
  <c r="R48" i="4"/>
  <c r="I47" i="17"/>
  <c r="H78"/>
  <c r="R75" i="4"/>
  <c r="I78" i="17"/>
  <c r="R128" i="3"/>
  <c r="I139" i="24"/>
  <c r="F139"/>
  <c r="R92" i="3"/>
  <c r="I97" i="24"/>
  <c r="F97"/>
  <c r="R114" i="4"/>
  <c r="I122" i="17"/>
  <c r="F122"/>
  <c r="R127" i="3"/>
  <c r="I138" i="24"/>
  <c r="F138"/>
  <c r="F96"/>
  <c r="R91" i="3"/>
  <c r="I96" i="24"/>
  <c r="R113" i="4"/>
  <c r="I121" i="17"/>
  <c r="F121"/>
  <c r="I65" i="20"/>
  <c r="F65"/>
  <c r="R139" i="3"/>
  <c r="I150" i="24"/>
  <c r="F150"/>
  <c r="R100" i="3"/>
  <c r="F105" i="24"/>
  <c r="F7"/>
  <c r="R8" i="3"/>
  <c r="J15"/>
  <c r="F138" i="17"/>
  <c r="R129" i="4"/>
  <c r="I138" i="17"/>
  <c r="J15" i="4"/>
  <c r="F7" i="17"/>
  <c r="O6" i="9"/>
  <c r="F5" i="23"/>
  <c r="O17" i="9"/>
  <c r="F17" i="23"/>
  <c r="D17" i="9"/>
  <c r="J42"/>
  <c r="A83"/>
  <c r="A56"/>
  <c r="A43"/>
  <c r="A94"/>
  <c r="A69"/>
  <c r="R9" i="3"/>
  <c r="I8" i="24"/>
  <c r="Q15" i="3"/>
  <c r="H8" i="24"/>
  <c r="H39" i="16"/>
  <c r="I39"/>
  <c r="P52" i="1"/>
  <c r="H49" i="16"/>
  <c r="H12" i="20"/>
  <c r="Q12" i="2"/>
  <c r="I12" i="20"/>
  <c r="H21"/>
  <c r="H27"/>
  <c r="Q27" i="2"/>
  <c r="I27" i="20"/>
  <c r="H29"/>
  <c r="Q29" i="2"/>
  <c r="I29" i="20"/>
  <c r="H31"/>
  <c r="Q31" i="2"/>
  <c r="I31" i="20"/>
  <c r="I70"/>
  <c r="H70"/>
  <c r="D28" i="6"/>
  <c r="E30" i="19"/>
  <c r="H51" i="20"/>
  <c r="R69" i="3"/>
  <c r="I73" i="24"/>
  <c r="H73"/>
  <c r="H143"/>
  <c r="R132" i="3"/>
  <c r="I143" i="24"/>
  <c r="Q150" i="3"/>
  <c r="H158" i="24"/>
  <c r="H164"/>
  <c r="Q157" i="3"/>
  <c r="Q169"/>
  <c r="H182" i="24"/>
  <c r="H17" i="17"/>
  <c r="R18" i="4"/>
  <c r="Q22"/>
  <c r="H20" i="17"/>
  <c r="R21" i="4"/>
  <c r="I20" i="17"/>
  <c r="R32" i="4"/>
  <c r="I31" i="17"/>
  <c r="H31"/>
  <c r="R35" i="4"/>
  <c r="I34" i="17"/>
  <c r="H34"/>
  <c r="H49"/>
  <c r="R50" i="4"/>
  <c r="I49" i="17"/>
  <c r="H140"/>
  <c r="R131" i="4"/>
  <c r="I140" i="17"/>
  <c r="G13" i="20"/>
  <c r="C23" i="6"/>
  <c r="K45" i="9"/>
  <c r="E38"/>
  <c r="K20"/>
  <c r="B20" i="23"/>
  <c r="K44" i="9"/>
  <c r="G100" i="24"/>
  <c r="G98" i="17"/>
  <c r="H25" i="22"/>
  <c r="H22" i="21"/>
  <c r="C38"/>
  <c r="H38"/>
  <c r="R136" i="3"/>
  <c r="N141"/>
  <c r="G147" i="24"/>
  <c r="G42"/>
  <c r="R43" i="3"/>
  <c r="N53"/>
  <c r="R17"/>
  <c r="G16" i="24"/>
  <c r="G60" i="20"/>
  <c r="M62" i="2"/>
  <c r="R107" i="3"/>
  <c r="I116" i="24"/>
  <c r="G116"/>
  <c r="N117" i="3"/>
  <c r="R29"/>
  <c r="I28" i="24"/>
  <c r="G28"/>
  <c r="G62" i="17"/>
  <c r="R59" i="4"/>
  <c r="I62" i="17"/>
  <c r="G25"/>
  <c r="R26" i="4"/>
  <c r="I25" i="17"/>
  <c r="G18" i="16"/>
  <c r="Q18" i="1"/>
  <c r="I18" i="16"/>
  <c r="M25" i="1"/>
  <c r="G39" i="16"/>
  <c r="T10" i="11"/>
  <c r="U10"/>
  <c r="S11"/>
  <c r="U11"/>
  <c r="T15"/>
  <c r="U15"/>
  <c r="T8"/>
  <c r="U8"/>
  <c r="G23" i="16"/>
  <c r="Q23" i="1"/>
  <c r="I23" i="16"/>
  <c r="G26" i="20"/>
  <c r="M34" i="2"/>
  <c r="G19" i="20"/>
  <c r="M22" i="2"/>
  <c r="Q19"/>
  <c r="I19" i="20"/>
  <c r="G171" i="24"/>
  <c r="R156" i="3"/>
  <c r="I171" i="24"/>
  <c r="G165"/>
  <c r="R154" i="3"/>
  <c r="I165" i="24"/>
  <c r="N157" i="3"/>
  <c r="G159" i="24"/>
  <c r="R148" i="3"/>
  <c r="I159" i="24"/>
  <c r="N150" i="3"/>
  <c r="G73" i="17"/>
  <c r="R70" i="4"/>
  <c r="I73" i="17"/>
  <c r="R67" i="4"/>
  <c r="I70" i="17"/>
  <c r="G70"/>
  <c r="G68"/>
  <c r="R65" i="4"/>
  <c r="I68" i="17"/>
  <c r="R63" i="4"/>
  <c r="I66" i="17"/>
  <c r="G66"/>
  <c r="G65"/>
  <c r="R62" i="4"/>
  <c r="I65" i="17"/>
  <c r="R60" i="4"/>
  <c r="I63" i="17"/>
  <c r="G63"/>
  <c r="G36"/>
  <c r="R37" i="4"/>
  <c r="I36" i="17"/>
  <c r="G13"/>
  <c r="R14" i="4"/>
  <c r="I13" i="17"/>
  <c r="G108"/>
  <c r="R104" i="4"/>
  <c r="I108" i="17"/>
  <c r="G106"/>
  <c r="R102" i="4"/>
  <c r="I106" i="17"/>
  <c r="R130" i="4"/>
  <c r="I139" i="17"/>
  <c r="G139"/>
  <c r="H69" i="27"/>
  <c r="I69"/>
  <c r="C22" i="21"/>
  <c r="G54" i="24"/>
  <c r="N72" i="3"/>
  <c r="R55"/>
  <c r="R24"/>
  <c r="I23" i="24"/>
  <c r="G23"/>
  <c r="G43" i="20"/>
  <c r="M46" i="2"/>
  <c r="Q43"/>
  <c r="P9" i="4"/>
  <c r="Q9"/>
  <c r="G37" i="27"/>
  <c r="Q24" i="11"/>
  <c r="S24"/>
  <c r="U24"/>
  <c r="T12"/>
  <c r="U12"/>
  <c r="H21" i="2"/>
  <c r="I21"/>
  <c r="F21" i="20"/>
  <c r="S23" i="11"/>
  <c r="U23"/>
  <c r="V23"/>
  <c r="Q23"/>
  <c r="G73" i="20"/>
  <c r="Q68" i="2"/>
  <c r="I73" i="20"/>
  <c r="G62" i="24"/>
  <c r="R58" i="3"/>
  <c r="I62" i="24"/>
  <c r="G47"/>
  <c r="R48" i="3"/>
  <c r="I47" i="24"/>
  <c r="G46"/>
  <c r="R47" i="3"/>
  <c r="I46" i="24"/>
  <c r="G44"/>
  <c r="R45" i="3"/>
  <c r="I44" i="24"/>
  <c r="G39"/>
  <c r="R40" i="3"/>
  <c r="I39" i="24"/>
  <c r="G37"/>
  <c r="R38" i="3"/>
  <c r="I37" i="24"/>
  <c r="G50" i="17"/>
  <c r="R51" i="4"/>
  <c r="I50" i="17"/>
  <c r="G48"/>
  <c r="R49" i="4"/>
  <c r="I48" i="17"/>
  <c r="I69" i="4"/>
  <c r="H39" i="2"/>
  <c r="I39"/>
  <c r="J32" i="9"/>
  <c r="B59"/>
  <c r="G59"/>
  <c r="J30"/>
  <c r="B57"/>
  <c r="G57"/>
  <c r="A70"/>
  <c r="A95"/>
  <c r="N17"/>
  <c r="E17" i="23"/>
  <c r="A72" i="9"/>
  <c r="A97"/>
  <c r="H34" i="6"/>
  <c r="H44" i="20"/>
  <c r="Q11" i="1"/>
  <c r="Q7"/>
  <c r="I7" i="16"/>
  <c r="C14" i="6"/>
  <c r="D15" i="19"/>
  <c r="C12" i="6"/>
  <c r="D13" i="19"/>
  <c r="E34" i="6"/>
  <c r="M27" i="11"/>
  <c r="S165" i="3"/>
  <c r="S164" i="4"/>
  <c r="U4" i="11"/>
  <c r="I32" i="3"/>
  <c r="J32"/>
  <c r="E2" i="24"/>
  <c r="I31" i="4"/>
  <c r="J31"/>
  <c r="A32" i="23"/>
  <c r="Q30" i="9"/>
  <c r="H32" i="23"/>
  <c r="I45" i="2"/>
  <c r="Q13" i="1"/>
  <c r="I11" i="16"/>
  <c r="Q39" i="2"/>
  <c r="I39" i="20"/>
  <c r="F39"/>
  <c r="I120" i="4"/>
  <c r="J120"/>
  <c r="J69"/>
  <c r="I84"/>
  <c r="I166"/>
  <c r="J166"/>
  <c r="I167" i="3"/>
  <c r="J167"/>
  <c r="H85" i="2"/>
  <c r="I85"/>
  <c r="H50" i="1"/>
  <c r="I50"/>
  <c r="H8" i="17"/>
  <c r="R9" i="4"/>
  <c r="I8" i="17"/>
  <c r="G46" i="20"/>
  <c r="C27" i="6"/>
  <c r="D29" i="19"/>
  <c r="I54" i="24"/>
  <c r="C48" i="6"/>
  <c r="D51" i="19"/>
  <c r="G161" i="24"/>
  <c r="C44" i="6"/>
  <c r="D47" i="19"/>
  <c r="G127" i="24"/>
  <c r="C29" i="6"/>
  <c r="D31" i="19"/>
  <c r="M88" i="2"/>
  <c r="G94" i="20"/>
  <c r="G67"/>
  <c r="C41" i="6"/>
  <c r="G52" i="24"/>
  <c r="C46" i="6"/>
  <c r="D49" i="19"/>
  <c r="G152" i="24"/>
  <c r="Q44" i="9"/>
  <c r="H46" i="23"/>
  <c r="B46"/>
  <c r="K42" i="9"/>
  <c r="B44" i="23"/>
  <c r="G38" i="9"/>
  <c r="K18"/>
  <c r="B18" i="23"/>
  <c r="D25" i="19"/>
  <c r="D55" i="6"/>
  <c r="E64" i="19"/>
  <c r="H21" i="17"/>
  <c r="D49" i="6"/>
  <c r="E52" i="19"/>
  <c r="H172" i="24"/>
  <c r="A44" i="23"/>
  <c r="Q42" i="9"/>
  <c r="H44" i="23"/>
  <c r="F14" i="24"/>
  <c r="B38" i="6"/>
  <c r="S15" i="3"/>
  <c r="I105" i="24"/>
  <c r="H51" i="17"/>
  <c r="D57" i="6"/>
  <c r="E66" i="19"/>
  <c r="I7" i="17"/>
  <c r="R15" i="4"/>
  <c r="I14" i="17"/>
  <c r="H77" i="20"/>
  <c r="D30" i="6"/>
  <c r="E32" i="19"/>
  <c r="P88" i="2"/>
  <c r="H94" i="20"/>
  <c r="I16"/>
  <c r="Q13" i="2"/>
  <c r="I11" i="20"/>
  <c r="D23" i="6"/>
  <c r="H13" i="20"/>
  <c r="D11" i="6"/>
  <c r="E12" i="19"/>
  <c r="D13" i="6"/>
  <c r="E14" i="19"/>
  <c r="H29" i="16"/>
  <c r="D12" i="6"/>
  <c r="E13" i="19"/>
  <c r="D14" i="6"/>
  <c r="E15" i="19"/>
  <c r="I16" i="16"/>
  <c r="I38"/>
  <c r="H40"/>
  <c r="D17" i="6"/>
  <c r="E18" i="19"/>
  <c r="A48" i="23"/>
  <c r="Q46" i="9"/>
  <c r="H48" i="23"/>
  <c r="B98" i="9"/>
  <c r="G98"/>
  <c r="B73"/>
  <c r="G73"/>
  <c r="B47"/>
  <c r="G47"/>
  <c r="B87"/>
  <c r="G87"/>
  <c r="B60"/>
  <c r="G60"/>
  <c r="J33"/>
  <c r="F152" i="24"/>
  <c r="S141" i="3"/>
  <c r="B46" i="6"/>
  <c r="C54"/>
  <c r="N169" i="4"/>
  <c r="G14" i="17"/>
  <c r="H124"/>
  <c r="D60" i="6"/>
  <c r="E69" i="19"/>
  <c r="I19" i="4"/>
  <c r="J19"/>
  <c r="I94" i="3"/>
  <c r="J94"/>
  <c r="I155"/>
  <c r="J155"/>
  <c r="H32" i="2"/>
  <c r="I32"/>
  <c r="H70"/>
  <c r="I70"/>
  <c r="H21" i="1"/>
  <c r="I21"/>
  <c r="H22"/>
  <c r="I22"/>
  <c r="H20"/>
  <c r="I20"/>
  <c r="H19"/>
  <c r="I19"/>
  <c r="I65" i="3"/>
  <c r="J65"/>
  <c r="I27" i="4"/>
  <c r="J27"/>
  <c r="I34"/>
  <c r="J34"/>
  <c r="I36"/>
  <c r="J36"/>
  <c r="I38"/>
  <c r="J38"/>
  <c r="I45"/>
  <c r="J45"/>
  <c r="I58"/>
  <c r="J58"/>
  <c r="I61"/>
  <c r="J61"/>
  <c r="I64"/>
  <c r="J64"/>
  <c r="I66"/>
  <c r="J66"/>
  <c r="I77"/>
  <c r="J77"/>
  <c r="I79"/>
  <c r="J79"/>
  <c r="I81"/>
  <c r="J81"/>
  <c r="I93"/>
  <c r="J93"/>
  <c r="I101"/>
  <c r="J101"/>
  <c r="I103"/>
  <c r="J103"/>
  <c r="I105"/>
  <c r="J105"/>
  <c r="I154"/>
  <c r="J154"/>
  <c r="I28" i="3"/>
  <c r="J28"/>
  <c r="I35"/>
  <c r="J35"/>
  <c r="I37"/>
  <c r="J37"/>
  <c r="I39"/>
  <c r="J39"/>
  <c r="I46"/>
  <c r="J46"/>
  <c r="I59"/>
  <c r="J59"/>
  <c r="I62"/>
  <c r="J62"/>
  <c r="I106"/>
  <c r="J106"/>
  <c r="I104"/>
  <c r="J104"/>
  <c r="I102"/>
  <c r="J102"/>
  <c r="I82"/>
  <c r="J82"/>
  <c r="I80"/>
  <c r="J80"/>
  <c r="I78"/>
  <c r="J78"/>
  <c r="I67"/>
  <c r="J67"/>
  <c r="I75"/>
  <c r="J75"/>
  <c r="I101"/>
  <c r="J101"/>
  <c r="I120"/>
  <c r="J120"/>
  <c r="I147"/>
  <c r="J147"/>
  <c r="H28" i="2"/>
  <c r="I28"/>
  <c r="H38"/>
  <c r="I38"/>
  <c r="H44"/>
  <c r="I44"/>
  <c r="H49"/>
  <c r="I49"/>
  <c r="I25" i="4"/>
  <c r="J25"/>
  <c r="I43"/>
  <c r="J43"/>
  <c r="I55"/>
  <c r="J55"/>
  <c r="I74"/>
  <c r="J74"/>
  <c r="I100"/>
  <c r="J100"/>
  <c r="I119"/>
  <c r="J119"/>
  <c r="I146"/>
  <c r="J146"/>
  <c r="I26" i="3"/>
  <c r="J26"/>
  <c r="I44"/>
  <c r="J44"/>
  <c r="I56"/>
  <c r="J56"/>
  <c r="I153"/>
  <c r="J153"/>
  <c r="H67" i="2"/>
  <c r="I67"/>
  <c r="H28" i="1"/>
  <c r="I28"/>
  <c r="I19" i="3"/>
  <c r="J19"/>
  <c r="H17" i="2"/>
  <c r="I17"/>
  <c r="H17" i="1"/>
  <c r="I17"/>
  <c r="I152" i="4"/>
  <c r="J152"/>
  <c r="H145" i="24"/>
  <c r="D45" i="6"/>
  <c r="E48" i="19"/>
  <c r="Q21" i="2"/>
  <c r="I21" i="20"/>
  <c r="Q15" i="4"/>
  <c r="A34" i="23"/>
  <c r="Q32" i="9"/>
  <c r="H34" i="23"/>
  <c r="I92" i="4"/>
  <c r="J92"/>
  <c r="I128"/>
  <c r="J128"/>
  <c r="I116" i="3"/>
  <c r="J116"/>
  <c r="I115" i="4"/>
  <c r="J115"/>
  <c r="I93" i="3"/>
  <c r="J93"/>
  <c r="I129"/>
  <c r="J129"/>
  <c r="I43" i="20"/>
  <c r="C42" i="6"/>
  <c r="D45" i="19"/>
  <c r="G76" i="24"/>
  <c r="G172"/>
  <c r="C49" i="6"/>
  <c r="D52" i="19"/>
  <c r="N170" i="3"/>
  <c r="G22" i="20"/>
  <c r="C24" i="6"/>
  <c r="D26" i="19"/>
  <c r="C25" i="6"/>
  <c r="D27" i="19"/>
  <c r="G34" i="20"/>
  <c r="C17" i="6"/>
  <c r="G40" i="16"/>
  <c r="M53" i="1"/>
  <c r="G53" i="16"/>
  <c r="G25"/>
  <c r="C10" i="6"/>
  <c r="I60" i="20"/>
  <c r="I16" i="24"/>
  <c r="I42"/>
  <c r="I147"/>
  <c r="R141" i="3"/>
  <c r="I152" i="24"/>
  <c r="B47" i="23"/>
  <c r="Q45" i="9"/>
  <c r="H47" i="23"/>
  <c r="I17" i="17"/>
  <c r="D51" i="6"/>
  <c r="E54" i="19"/>
  <c r="H184" i="24"/>
  <c r="Q170" i="3"/>
  <c r="D48" i="6"/>
  <c r="E51" i="19"/>
  <c r="H161" i="24"/>
  <c r="H67" i="20"/>
  <c r="D29" i="6"/>
  <c r="E31" i="19"/>
  <c r="D19" i="6"/>
  <c r="E20" i="19"/>
  <c r="P53" i="1"/>
  <c r="H53" i="16"/>
  <c r="H51"/>
  <c r="D38" i="6"/>
  <c r="H14" i="24"/>
  <c r="L6" i="9"/>
  <c r="C5" i="23"/>
  <c r="L17" i="9"/>
  <c r="C17" i="23"/>
  <c r="B94" i="9"/>
  <c r="G94"/>
  <c r="B69"/>
  <c r="G69"/>
  <c r="B43"/>
  <c r="G43"/>
  <c r="B83"/>
  <c r="G83"/>
  <c r="B56"/>
  <c r="G56"/>
  <c r="J29"/>
  <c r="B54" i="6"/>
  <c r="F14" i="17"/>
  <c r="S15" i="4"/>
  <c r="I7" i="24"/>
  <c r="R15" i="3"/>
  <c r="I14" i="24"/>
  <c r="H39" i="17"/>
  <c r="D56" i="6"/>
  <c r="E65" i="19"/>
  <c r="D42" i="6"/>
  <c r="E45" i="19"/>
  <c r="H76" i="24"/>
  <c r="I61" i="20"/>
  <c r="D24" i="6"/>
  <c r="E26" i="19"/>
  <c r="H22" i="20"/>
  <c r="H25" i="16"/>
  <c r="D10" i="6"/>
  <c r="H34" i="20"/>
  <c r="D25" i="6"/>
  <c r="E27" i="19"/>
  <c r="I25" i="20"/>
  <c r="P6" i="9"/>
  <c r="G5" i="23"/>
  <c r="P17" i="9"/>
  <c r="G17" i="23"/>
  <c r="I147" i="17"/>
  <c r="R140" i="4"/>
  <c r="I149" i="17"/>
  <c r="B62" i="6"/>
  <c r="S140" i="4"/>
  <c r="F149" i="17"/>
  <c r="Q31" i="9"/>
  <c r="H33" i="23"/>
  <c r="B33"/>
  <c r="H127" i="24"/>
  <c r="D44" i="6"/>
  <c r="E47" i="19"/>
  <c r="H98" i="17"/>
  <c r="D59" i="6"/>
  <c r="E68" i="19"/>
  <c r="H142" i="17"/>
  <c r="Q169" i="4"/>
  <c r="D61" i="6"/>
  <c r="E70" i="19"/>
  <c r="D43" i="6"/>
  <c r="E46" i="19"/>
  <c r="H100" i="24"/>
  <c r="R31" i="4"/>
  <c r="F30" i="17"/>
  <c r="J40" i="4"/>
  <c r="J41" i="3"/>
  <c r="F31" i="24"/>
  <c r="R32" i="3"/>
  <c r="E11" i="19"/>
  <c r="E21"/>
  <c r="D20" i="6"/>
  <c r="C63" i="19"/>
  <c r="E41"/>
  <c r="E55"/>
  <c r="D52" i="6"/>
  <c r="Q179" i="3"/>
  <c r="Q182"/>
  <c r="H186" i="24"/>
  <c r="N179" i="3"/>
  <c r="N182"/>
  <c r="G186" i="24"/>
  <c r="J180" i="3"/>
  <c r="R93"/>
  <c r="I98" i="24"/>
  <c r="F98"/>
  <c r="F126"/>
  <c r="R116" i="3"/>
  <c r="I126" i="24"/>
  <c r="F96" i="17"/>
  <c r="R92" i="4"/>
  <c r="I96" i="17"/>
  <c r="J176" i="4"/>
  <c r="F17" i="16"/>
  <c r="I25" i="1"/>
  <c r="Q17"/>
  <c r="F18" i="24"/>
  <c r="J22" i="3"/>
  <c r="R19"/>
  <c r="F72" i="20"/>
  <c r="Q67" i="2"/>
  <c r="I72"/>
  <c r="F60" i="24"/>
  <c r="J72" i="3"/>
  <c r="R56"/>
  <c r="F25" i="24"/>
  <c r="R26" i="3"/>
  <c r="I25" i="24"/>
  <c r="R119" i="4"/>
  <c r="F127" i="17"/>
  <c r="J133" i="4"/>
  <c r="R74"/>
  <c r="F77" i="17"/>
  <c r="F42"/>
  <c r="J52" i="4"/>
  <c r="R43"/>
  <c r="F63" i="20"/>
  <c r="Q44" i="2"/>
  <c r="F44" i="20"/>
  <c r="I46" i="2"/>
  <c r="Q28"/>
  <c r="F28" i="20"/>
  <c r="I34" i="2"/>
  <c r="R120" i="3"/>
  <c r="F130" i="24"/>
  <c r="J134" i="3"/>
  <c r="R75"/>
  <c r="F79" i="24"/>
  <c r="J95" i="3"/>
  <c r="F82" i="24"/>
  <c r="R78" i="3"/>
  <c r="I82" i="24"/>
  <c r="F86"/>
  <c r="R82" i="3"/>
  <c r="I86" i="24"/>
  <c r="F109"/>
  <c r="R104" i="3"/>
  <c r="I109" i="24"/>
  <c r="F66"/>
  <c r="R62" i="3"/>
  <c r="I66" i="24"/>
  <c r="F45"/>
  <c r="R46" i="3"/>
  <c r="I45" i="24"/>
  <c r="F36"/>
  <c r="R37" i="3"/>
  <c r="I36" i="24"/>
  <c r="F27"/>
  <c r="R28" i="3"/>
  <c r="I27" i="24"/>
  <c r="F109" i="17"/>
  <c r="R105" i="4"/>
  <c r="I109" i="17"/>
  <c r="F105"/>
  <c r="R101" i="4"/>
  <c r="I105" i="17"/>
  <c r="F84"/>
  <c r="R81" i="4"/>
  <c r="I84" i="17"/>
  <c r="F80"/>
  <c r="R77" i="4"/>
  <c r="I80" i="17"/>
  <c r="F67"/>
  <c r="R64" i="4"/>
  <c r="I67" i="17"/>
  <c r="F61"/>
  <c r="R58" i="4"/>
  <c r="I61" i="17"/>
  <c r="F37"/>
  <c r="R38" i="4"/>
  <c r="I37" i="17"/>
  <c r="F33"/>
  <c r="R34" i="4"/>
  <c r="I33" i="17"/>
  <c r="F69" i="24"/>
  <c r="R65" i="3"/>
  <c r="I69" i="24"/>
  <c r="F20" i="16"/>
  <c r="Q20" i="1"/>
  <c r="I20" i="16"/>
  <c r="F21"/>
  <c r="Q21" i="1"/>
  <c r="I21" i="16"/>
  <c r="F32" i="20"/>
  <c r="Q32" i="2"/>
  <c r="I32" i="20"/>
  <c r="F99" i="24"/>
  <c r="R94" i="3"/>
  <c r="I99" i="24"/>
  <c r="D63" i="19"/>
  <c r="D77"/>
  <c r="C68" i="6"/>
  <c r="A35" i="23"/>
  <c r="Q33" i="9"/>
  <c r="H35" i="23"/>
  <c r="I40" i="16"/>
  <c r="E25" i="19"/>
  <c r="E38"/>
  <c r="D36" i="6"/>
  <c r="R13" i="2"/>
  <c r="I13" i="20"/>
  <c r="D44" i="19"/>
  <c r="D55"/>
  <c r="C52" i="6"/>
  <c r="F49" i="16"/>
  <c r="I52" i="1"/>
  <c r="Q50"/>
  <c r="F182" i="24"/>
  <c r="J169" i="3"/>
  <c r="R167"/>
  <c r="J84" i="4"/>
  <c r="I97"/>
  <c r="J97"/>
  <c r="R120"/>
  <c r="I128" i="17"/>
  <c r="F128"/>
  <c r="R13" i="1"/>
  <c r="I13" i="16"/>
  <c r="I50" i="2"/>
  <c r="E23" i="6"/>
  <c r="H183" i="17"/>
  <c r="Q175" i="4"/>
  <c r="E62" i="6"/>
  <c r="C71" i="19"/>
  <c r="F71"/>
  <c r="A31" i="23"/>
  <c r="D11" i="19"/>
  <c r="C20" i="6"/>
  <c r="D18" i="19"/>
  <c r="F18"/>
  <c r="E17" i="6"/>
  <c r="R129" i="3"/>
  <c r="I140" i="24"/>
  <c r="F140"/>
  <c r="F123" i="17"/>
  <c r="R115" i="4"/>
  <c r="I123" i="17"/>
  <c r="R128" i="4"/>
  <c r="I137" i="17"/>
  <c r="F137"/>
  <c r="H14"/>
  <c r="D54" i="6"/>
  <c r="R152" i="4"/>
  <c r="F161" i="17"/>
  <c r="J156" i="4"/>
  <c r="Q17" i="2"/>
  <c r="F17" i="20"/>
  <c r="I22" i="2"/>
  <c r="I29" i="1"/>
  <c r="F28" i="16"/>
  <c r="Q28" i="1"/>
  <c r="J157" i="3"/>
  <c r="F164" i="24"/>
  <c r="R153" i="3"/>
  <c r="R44"/>
  <c r="F43" i="24"/>
  <c r="J53" i="3"/>
  <c r="F155" i="17"/>
  <c r="J149" i="4"/>
  <c r="R146"/>
  <c r="R100"/>
  <c r="I104" i="17"/>
  <c r="F104"/>
  <c r="R55" i="4"/>
  <c r="F54" i="17"/>
  <c r="J71" i="4"/>
  <c r="R25"/>
  <c r="I24" i="17"/>
  <c r="F24"/>
  <c r="F49" i="20"/>
  <c r="I51" i="2"/>
  <c r="Q49"/>
  <c r="F38" i="20"/>
  <c r="I41" i="2"/>
  <c r="Q38"/>
  <c r="F158" i="24"/>
  <c r="J150" i="3"/>
  <c r="R147"/>
  <c r="R101"/>
  <c r="F106" i="24"/>
  <c r="J117" i="3"/>
  <c r="R67"/>
  <c r="I71" i="24"/>
  <c r="F71"/>
  <c r="R80" i="3"/>
  <c r="I84" i="24"/>
  <c r="F84"/>
  <c r="R102" i="3"/>
  <c r="I107" i="24"/>
  <c r="F107"/>
  <c r="R106" i="3"/>
  <c r="I115" i="24"/>
  <c r="F115"/>
  <c r="R59" i="3"/>
  <c r="I63" i="24"/>
  <c r="F63"/>
  <c r="R39" i="3"/>
  <c r="I38" i="24"/>
  <c r="F38"/>
  <c r="R35" i="3"/>
  <c r="I34" i="24"/>
  <c r="F34"/>
  <c r="R154" i="4"/>
  <c r="I163" i="17"/>
  <c r="F163"/>
  <c r="R103" i="4"/>
  <c r="I107" i="17"/>
  <c r="F107"/>
  <c r="R93" i="4"/>
  <c r="I97" i="17"/>
  <c r="F97"/>
  <c r="R79" i="4"/>
  <c r="I82" i="17"/>
  <c r="F82"/>
  <c r="R66" i="4"/>
  <c r="I69" i="17"/>
  <c r="F69"/>
  <c r="R61" i="4"/>
  <c r="I64" i="17"/>
  <c r="F64"/>
  <c r="R45" i="4"/>
  <c r="I44" i="17"/>
  <c r="F44"/>
  <c r="R36" i="4"/>
  <c r="I35" i="17"/>
  <c r="F35"/>
  <c r="R27" i="4"/>
  <c r="I26" i="17"/>
  <c r="F26"/>
  <c r="Q19" i="1"/>
  <c r="I19" i="16"/>
  <c r="F19"/>
  <c r="Q22" i="1"/>
  <c r="I22" i="16"/>
  <c r="F22"/>
  <c r="Q70" i="2"/>
  <c r="I76" i="20"/>
  <c r="F76"/>
  <c r="R155" i="3"/>
  <c r="I170" i="24"/>
  <c r="F170"/>
  <c r="J22" i="4"/>
  <c r="R19"/>
  <c r="F18" i="17"/>
  <c r="N175" i="4"/>
  <c r="G183" i="17"/>
  <c r="E46" i="6"/>
  <c r="C49" i="19"/>
  <c r="F49"/>
  <c r="C41"/>
  <c r="F41"/>
  <c r="E38" i="6"/>
  <c r="F25" i="19"/>
  <c r="D38"/>
  <c r="K7" i="9"/>
  <c r="B6" i="23"/>
  <c r="G45" i="9"/>
  <c r="K29"/>
  <c r="B31" i="23"/>
  <c r="G46" i="9"/>
  <c r="G44"/>
  <c r="I87" i="2"/>
  <c r="F90" i="20"/>
  <c r="Q85" i="2"/>
  <c r="J168" i="4"/>
  <c r="F179" i="17"/>
  <c r="R166" i="4"/>
  <c r="R69"/>
  <c r="I72" i="17"/>
  <c r="F72"/>
  <c r="F45" i="20"/>
  <c r="Q45" i="2"/>
  <c r="I45" i="20"/>
  <c r="C36" i="6"/>
  <c r="S40" i="4"/>
  <c r="F39" i="17"/>
  <c r="B56" i="6"/>
  <c r="I30" i="17"/>
  <c r="R40" i="4"/>
  <c r="I31" i="24"/>
  <c r="R41" i="3"/>
  <c r="F40" i="24"/>
  <c r="B40" i="6"/>
  <c r="S41" i="3"/>
  <c r="J170"/>
  <c r="G16" i="7"/>
  <c r="G38"/>
  <c r="Q87" i="2"/>
  <c r="I90" i="20"/>
  <c r="B35" i="6"/>
  <c r="F92" i="20"/>
  <c r="S22" i="4"/>
  <c r="B55" i="6"/>
  <c r="F21" i="17"/>
  <c r="R150" i="3"/>
  <c r="I161" i="24"/>
  <c r="I158"/>
  <c r="F41" i="20"/>
  <c r="B26" i="6"/>
  <c r="R41" i="2"/>
  <c r="I49" i="20"/>
  <c r="R149" i="4"/>
  <c r="I158" i="17"/>
  <c r="I155"/>
  <c r="R157" i="3"/>
  <c r="I172" i="24"/>
  <c r="I164"/>
  <c r="B49" i="6"/>
  <c r="F172" i="24"/>
  <c r="S157" i="3"/>
  <c r="F22" i="20"/>
  <c r="B24" i="6"/>
  <c r="I17" i="20"/>
  <c r="Q22" i="2"/>
  <c r="E63" i="19"/>
  <c r="E77"/>
  <c r="D68" i="6"/>
  <c r="G15" i="7"/>
  <c r="G37"/>
  <c r="Q178" i="4"/>
  <c r="E34" i="9"/>
  <c r="I64" i="20"/>
  <c r="F64"/>
  <c r="R84" i="4"/>
  <c r="I87" i="17"/>
  <c r="F87"/>
  <c r="F184" i="24"/>
  <c r="S169" i="3"/>
  <c r="B51" i="6"/>
  <c r="Q52" i="1"/>
  <c r="I49" i="16"/>
  <c r="F145" i="24"/>
  <c r="S134" i="3"/>
  <c r="B45" i="6"/>
  <c r="I130" i="24"/>
  <c r="R134" i="3"/>
  <c r="I145" i="24"/>
  <c r="F46" i="20"/>
  <c r="B27" i="6"/>
  <c r="I44" i="20"/>
  <c r="Q46" i="2"/>
  <c r="I42" i="17"/>
  <c r="R52" i="4"/>
  <c r="I51" i="17"/>
  <c r="B61" i="6"/>
  <c r="F142" i="17"/>
  <c r="S133" i="4"/>
  <c r="I127" i="17"/>
  <c r="R133" i="4"/>
  <c r="I142" i="17"/>
  <c r="S72" i="3"/>
  <c r="F76" i="24"/>
  <c r="B42" i="6"/>
  <c r="F77" i="20"/>
  <c r="B30" i="6"/>
  <c r="F21" i="24"/>
  <c r="B39" i="6"/>
  <c r="S22" i="3"/>
  <c r="I17" i="16"/>
  <c r="Q25" i="1"/>
  <c r="Q29" i="9"/>
  <c r="H31" i="23"/>
  <c r="F63" i="19"/>
  <c r="R168" i="4"/>
  <c r="I181" i="17"/>
  <c r="I179"/>
  <c r="F181"/>
  <c r="S168" i="4"/>
  <c r="B67" i="6"/>
  <c r="D34" i="9"/>
  <c r="N182" i="4"/>
  <c r="N178"/>
  <c r="I18" i="17"/>
  <c r="R22" i="4"/>
  <c r="I21" i="17"/>
  <c r="S117" i="3"/>
  <c r="F127" i="24"/>
  <c r="B44" i="6"/>
  <c r="I106" i="24"/>
  <c r="R117" i="3"/>
  <c r="I127" i="24"/>
  <c r="F161"/>
  <c r="B48" i="6"/>
  <c r="S150" i="3"/>
  <c r="Q41" i="2"/>
  <c r="I41" i="20"/>
  <c r="I38"/>
  <c r="F51"/>
  <c r="B28" i="6"/>
  <c r="S71" i="4"/>
  <c r="F74" i="17"/>
  <c r="B58" i="6"/>
  <c r="I54" i="17"/>
  <c r="R71" i="4"/>
  <c r="I74" i="17"/>
  <c r="F158"/>
  <c r="B64" i="6"/>
  <c r="S149" i="4"/>
  <c r="S53" i="3"/>
  <c r="F52" i="24"/>
  <c r="B41" i="6"/>
  <c r="I43" i="24"/>
  <c r="R53" i="3"/>
  <c r="I52" i="24"/>
  <c r="Q29" i="1"/>
  <c r="I28" i="16"/>
  <c r="B11" i="6"/>
  <c r="B13"/>
  <c r="F29" i="16"/>
  <c r="B12" i="6"/>
  <c r="B14"/>
  <c r="F165" i="17"/>
  <c r="B65" i="6"/>
  <c r="S156" i="4"/>
  <c r="R156"/>
  <c r="I165" i="17"/>
  <c r="I161"/>
  <c r="Q50" i="2"/>
  <c r="I50" i="20"/>
  <c r="F50"/>
  <c r="R97" i="4"/>
  <c r="F101" i="17"/>
  <c r="J116" i="4"/>
  <c r="R169" i="3"/>
  <c r="I184" i="24"/>
  <c r="I182"/>
  <c r="B19" i="6"/>
  <c r="F51" i="16"/>
  <c r="I53" i="1"/>
  <c r="F53" i="16"/>
  <c r="G39" i="7"/>
  <c r="G17"/>
  <c r="H16"/>
  <c r="H38"/>
  <c r="G40"/>
  <c r="C69" i="6"/>
  <c r="G18" i="7"/>
  <c r="S95" i="3"/>
  <c r="F100" i="24"/>
  <c r="B43" i="6"/>
  <c r="I79" i="24"/>
  <c r="R95" i="3"/>
  <c r="I100" i="24"/>
  <c r="F34" i="20"/>
  <c r="B25" i="6"/>
  <c r="I28" i="20"/>
  <c r="Q34" i="2"/>
  <c r="I63" i="20"/>
  <c r="S52" i="4"/>
  <c r="F51" i="17"/>
  <c r="B57" i="6"/>
  <c r="I77" i="17"/>
  <c r="R94" i="4"/>
  <c r="I98" i="17"/>
  <c r="I60" i="24"/>
  <c r="R72" i="3"/>
  <c r="I76" i="24"/>
  <c r="I72" i="20"/>
  <c r="Q72" i="2"/>
  <c r="I18" i="24"/>
  <c r="R22" i="3"/>
  <c r="I21" i="24"/>
  <c r="F25" i="16"/>
  <c r="B10" i="6"/>
  <c r="H17" i="7"/>
  <c r="H39"/>
  <c r="H15"/>
  <c r="H37"/>
  <c r="S170" i="3"/>
  <c r="D21" i="19"/>
  <c r="I62" i="2"/>
  <c r="I88"/>
  <c r="J94" i="4"/>
  <c r="E54" i="6"/>
  <c r="F186" i="24"/>
  <c r="J179" i="3"/>
  <c r="J182"/>
  <c r="E40" i="6"/>
  <c r="C43" i="19"/>
  <c r="B52" i="6"/>
  <c r="I40" i="24"/>
  <c r="R170" i="3"/>
  <c r="I39" i="17"/>
  <c r="C65" i="19"/>
  <c r="E56" i="6"/>
  <c r="R88" i="2"/>
  <c r="F94" i="20"/>
  <c r="F98" i="17"/>
  <c r="B59" i="6"/>
  <c r="S94" i="4"/>
  <c r="E10" i="6"/>
  <c r="B20"/>
  <c r="C11" i="19"/>
  <c r="I77" i="20"/>
  <c r="R72" i="2"/>
  <c r="C66" i="19"/>
  <c r="F66"/>
  <c r="E57" i="6"/>
  <c r="F124" i="17"/>
  <c r="B60" i="6"/>
  <c r="S116" i="4"/>
  <c r="S169"/>
  <c r="J169"/>
  <c r="I101" i="17"/>
  <c r="R116" i="4"/>
  <c r="C74" i="19"/>
  <c r="F74"/>
  <c r="E65" i="6"/>
  <c r="C15" i="19"/>
  <c r="F15"/>
  <c r="E14" i="6"/>
  <c r="C12" i="19"/>
  <c r="F12"/>
  <c r="E11" i="6"/>
  <c r="I29" i="16"/>
  <c r="R29" i="1"/>
  <c r="C30" i="19"/>
  <c r="F30"/>
  <c r="E28" i="6"/>
  <c r="D96" i="9"/>
  <c r="D71"/>
  <c r="D97"/>
  <c r="D72"/>
  <c r="D98"/>
  <c r="D73"/>
  <c r="N44"/>
  <c r="E46" i="23"/>
  <c r="D45" i="9"/>
  <c r="D83"/>
  <c r="D56"/>
  <c r="D84"/>
  <c r="D57"/>
  <c r="N42"/>
  <c r="E44" i="23"/>
  <c r="D43" i="9"/>
  <c r="N46"/>
  <c r="E48" i="23"/>
  <c r="N45" i="9"/>
  <c r="E47" i="23"/>
  <c r="D46" i="9"/>
  <c r="D85"/>
  <c r="D58"/>
  <c r="D86"/>
  <c r="D59"/>
  <c r="D87"/>
  <c r="D60"/>
  <c r="D94"/>
  <c r="D69"/>
  <c r="D95"/>
  <c r="D70"/>
  <c r="N43"/>
  <c r="E45" i="23"/>
  <c r="D44" i="9"/>
  <c r="N31"/>
  <c r="E33" i="23"/>
  <c r="D47" i="9"/>
  <c r="N32"/>
  <c r="E34" i="23"/>
  <c r="N33" i="9"/>
  <c r="E35" i="23"/>
  <c r="N29" i="9"/>
  <c r="E31" i="23"/>
  <c r="N30" i="9"/>
  <c r="E32" i="23"/>
  <c r="I25" i="16"/>
  <c r="R25" i="1"/>
  <c r="C70" i="19"/>
  <c r="F70"/>
  <c r="E61" i="6"/>
  <c r="E51"/>
  <c r="C54" i="19"/>
  <c r="F54"/>
  <c r="C64"/>
  <c r="F64"/>
  <c r="E55" i="6"/>
  <c r="C37" i="19"/>
  <c r="F37"/>
  <c r="E35" i="6"/>
  <c r="R87" i="2"/>
  <c r="I92" i="20"/>
  <c r="Q51" i="2"/>
  <c r="F67" i="20"/>
  <c r="B29" i="6"/>
  <c r="I67" i="20"/>
  <c r="R62" i="2"/>
  <c r="I34" i="20"/>
  <c r="R34" i="2"/>
  <c r="C27" i="19"/>
  <c r="F27"/>
  <c r="E25" i="6"/>
  <c r="E43"/>
  <c r="C46" i="19"/>
  <c r="F46"/>
  <c r="G41" i="7"/>
  <c r="C70" i="6"/>
  <c r="G19" i="7"/>
  <c r="C20" i="19"/>
  <c r="F20"/>
  <c r="E19" i="6"/>
  <c r="C13" i="19"/>
  <c r="F13"/>
  <c r="E12" i="6"/>
  <c r="C14" i="19"/>
  <c r="F14"/>
  <c r="E13" i="6"/>
  <c r="C44" i="19"/>
  <c r="F44"/>
  <c r="E41" i="6"/>
  <c r="C73" i="19"/>
  <c r="F73"/>
  <c r="E64" i="6"/>
  <c r="C67" i="19"/>
  <c r="F67"/>
  <c r="E58" i="6"/>
  <c r="C51" i="19"/>
  <c r="F51"/>
  <c r="E48" i="6"/>
  <c r="C47" i="19"/>
  <c r="F47"/>
  <c r="E44" i="6"/>
  <c r="C76" i="19"/>
  <c r="F76"/>
  <c r="E67" i="6"/>
  <c r="E39"/>
  <c r="C42" i="19"/>
  <c r="F42"/>
  <c r="C32"/>
  <c r="F32"/>
  <c r="E30" i="6"/>
  <c r="C45" i="19"/>
  <c r="F45"/>
  <c r="E42" i="6"/>
  <c r="I46" i="20"/>
  <c r="R46" i="2"/>
  <c r="C29" i="19"/>
  <c r="F29"/>
  <c r="E27" i="6"/>
  <c r="C48" i="19"/>
  <c r="F48"/>
  <c r="E45" i="6"/>
  <c r="I51" i="16"/>
  <c r="R52" i="1"/>
  <c r="Q53"/>
  <c r="E85" i="9"/>
  <c r="E58"/>
  <c r="O43"/>
  <c r="F45" i="23"/>
  <c r="E95" i="9"/>
  <c r="E57"/>
  <c r="O42"/>
  <c r="F44" i="23"/>
  <c r="E94" i="9"/>
  <c r="E56"/>
  <c r="O31"/>
  <c r="F33" i="23"/>
  <c r="O46" i="9"/>
  <c r="F48" i="23"/>
  <c r="E98" i="9"/>
  <c r="E60"/>
  <c r="O45"/>
  <c r="F47" i="23"/>
  <c r="E97" i="9"/>
  <c r="E59"/>
  <c r="O32"/>
  <c r="F34" i="23"/>
  <c r="E72" i="9"/>
  <c r="O29"/>
  <c r="F31" i="23"/>
  <c r="E69" i="9"/>
  <c r="O44"/>
  <c r="F46" i="23"/>
  <c r="E96" i="9"/>
  <c r="E71"/>
  <c r="E45"/>
  <c r="E84"/>
  <c r="E44"/>
  <c r="E83"/>
  <c r="E43"/>
  <c r="E87"/>
  <c r="E47"/>
  <c r="E46"/>
  <c r="O33"/>
  <c r="F35" i="23"/>
  <c r="E70" i="9"/>
  <c r="E86"/>
  <c r="E73"/>
  <c r="O30"/>
  <c r="F32" i="23"/>
  <c r="H40" i="7"/>
  <c r="D69" i="6"/>
  <c r="H18" i="7"/>
  <c r="R22" i="2"/>
  <c r="I22" i="20"/>
  <c r="C26" i="19"/>
  <c r="E24" i="6"/>
  <c r="B36"/>
  <c r="C52" i="19"/>
  <c r="F52"/>
  <c r="E49" i="6"/>
  <c r="C28" i="19"/>
  <c r="F28"/>
  <c r="E26" i="6"/>
  <c r="F52"/>
  <c r="I186" i="24"/>
  <c r="F39" i="7"/>
  <c r="E52" i="6"/>
  <c r="F17" i="7"/>
  <c r="F65" i="19"/>
  <c r="F43"/>
  <c r="F55"/>
  <c r="C55"/>
  <c r="F20" i="6"/>
  <c r="I53" i="16"/>
  <c r="R53" i="1"/>
  <c r="C71" i="6"/>
  <c r="G20" i="7"/>
  <c r="G42"/>
  <c r="C31" i="19"/>
  <c r="F31"/>
  <c r="E29" i="6"/>
  <c r="R51" i="2"/>
  <c r="I51" i="20"/>
  <c r="E20" i="6"/>
  <c r="F15" i="7"/>
  <c r="J15"/>
  <c r="F37"/>
  <c r="J37"/>
  <c r="L37"/>
  <c r="F38"/>
  <c r="J38"/>
  <c r="L38"/>
  <c r="E36" i="6"/>
  <c r="F16" i="7"/>
  <c r="J16"/>
  <c r="C38" i="19"/>
  <c r="F26"/>
  <c r="F38"/>
  <c r="D70" i="6"/>
  <c r="H19" i="7"/>
  <c r="H41"/>
  <c r="I124" i="17"/>
  <c r="R169" i="4"/>
  <c r="F183" i="17"/>
  <c r="S170" i="4"/>
  <c r="J175"/>
  <c r="J178"/>
  <c r="S178"/>
  <c r="C34" i="9"/>
  <c r="C69" i="19"/>
  <c r="F69"/>
  <c r="E60" i="6"/>
  <c r="F11" i="19"/>
  <c r="F21"/>
  <c r="C21"/>
  <c r="C68"/>
  <c r="E59" i="6"/>
  <c r="B68"/>
  <c r="Q88" i="2"/>
  <c r="J17" i="7"/>
  <c r="J39"/>
  <c r="C97" i="9"/>
  <c r="F97"/>
  <c r="H97"/>
  <c r="C87"/>
  <c r="F87"/>
  <c r="H87"/>
  <c r="C83"/>
  <c r="F83"/>
  <c r="H83"/>
  <c r="C70"/>
  <c r="F70"/>
  <c r="H70"/>
  <c r="C58"/>
  <c r="F58"/>
  <c r="H58"/>
  <c r="C46"/>
  <c r="F46"/>
  <c r="H46"/>
  <c r="M33"/>
  <c r="M29"/>
  <c r="M43"/>
  <c r="C96"/>
  <c r="F96"/>
  <c r="H96"/>
  <c r="C86"/>
  <c r="F86"/>
  <c r="H86"/>
  <c r="C73"/>
  <c r="F73"/>
  <c r="H73"/>
  <c r="C69"/>
  <c r="F69"/>
  <c r="H69"/>
  <c r="C57"/>
  <c r="F57"/>
  <c r="H57"/>
  <c r="C45"/>
  <c r="F45"/>
  <c r="H45"/>
  <c r="M32"/>
  <c r="M46"/>
  <c r="M42"/>
  <c r="C85"/>
  <c r="F85"/>
  <c r="H85"/>
  <c r="C60"/>
  <c r="F60"/>
  <c r="H60"/>
  <c r="C44"/>
  <c r="F44"/>
  <c r="H44"/>
  <c r="M45"/>
  <c r="C94"/>
  <c r="F94"/>
  <c r="H94"/>
  <c r="C71"/>
  <c r="F71"/>
  <c r="H71"/>
  <c r="C47"/>
  <c r="F47"/>
  <c r="H47"/>
  <c r="M30"/>
  <c r="C95"/>
  <c r="F95"/>
  <c r="H95"/>
  <c r="C72"/>
  <c r="F72"/>
  <c r="H72"/>
  <c r="C56"/>
  <c r="F56"/>
  <c r="H56"/>
  <c r="M31"/>
  <c r="C98"/>
  <c r="F98"/>
  <c r="H98"/>
  <c r="C84"/>
  <c r="F84"/>
  <c r="H84"/>
  <c r="C59"/>
  <c r="F59"/>
  <c r="H59"/>
  <c r="C43"/>
  <c r="F43"/>
  <c r="H43"/>
  <c r="M44"/>
  <c r="F68" i="6"/>
  <c r="I183" i="17"/>
  <c r="D71" i="6"/>
  <c r="H20" i="7"/>
  <c r="H42"/>
  <c r="M37"/>
  <c r="O37"/>
  <c r="F36" i="6"/>
  <c r="I94" i="20"/>
  <c r="F18" i="7"/>
  <c r="J18"/>
  <c r="F40"/>
  <c r="J40"/>
  <c r="L40"/>
  <c r="O40"/>
  <c r="E68" i="6"/>
  <c r="B69"/>
  <c r="F68" i="19"/>
  <c r="F77"/>
  <c r="C77"/>
  <c r="G15" i="22"/>
  <c r="L16" i="7"/>
  <c r="O38"/>
  <c r="M38"/>
  <c r="L15"/>
  <c r="G14" i="22"/>
  <c r="G43" i="7"/>
  <c r="G21"/>
  <c r="C72" i="6"/>
  <c r="L39" i="7"/>
  <c r="L17"/>
  <c r="G16" i="22"/>
  <c r="G44" i="7"/>
  <c r="G22"/>
  <c r="C73" i="6"/>
  <c r="O15" i="7"/>
  <c r="M15"/>
  <c r="J14" i="22"/>
  <c r="I14"/>
  <c r="L14"/>
  <c r="L18" i="7"/>
  <c r="G17" i="22"/>
  <c r="P44" i="9"/>
  <c r="D46" i="23"/>
  <c r="O19" i="9"/>
  <c r="F19" i="23"/>
  <c r="O8" i="9"/>
  <c r="F7" i="23"/>
  <c r="P22" i="9"/>
  <c r="G22" i="23"/>
  <c r="P11" i="9"/>
  <c r="G10" i="23"/>
  <c r="L19" i="9"/>
  <c r="C19" i="23"/>
  <c r="L8" i="9"/>
  <c r="C7" i="23"/>
  <c r="M22" i="9"/>
  <c r="D22" i="23"/>
  <c r="M11" i="9"/>
  <c r="D10" i="23"/>
  <c r="P18" i="9"/>
  <c r="G18" i="23"/>
  <c r="P7" i="9"/>
  <c r="G6" i="23"/>
  <c r="L22" i="9"/>
  <c r="C22" i="23"/>
  <c r="L11" i="9"/>
  <c r="C10" i="23"/>
  <c r="M18" i="9"/>
  <c r="D18" i="23"/>
  <c r="M7" i="9"/>
  <c r="D6" i="23"/>
  <c r="N21" i="9"/>
  <c r="E21" i="23"/>
  <c r="N10" i="9"/>
  <c r="E9" i="23"/>
  <c r="P46" i="9"/>
  <c r="D48" i="23"/>
  <c r="N18" i="9"/>
  <c r="E18" i="23"/>
  <c r="N7" i="9"/>
  <c r="E6" i="23"/>
  <c r="L20" i="9"/>
  <c r="C20" i="23"/>
  <c r="L9" i="9"/>
  <c r="C8" i="23"/>
  <c r="O21" i="9"/>
  <c r="F21" i="23"/>
  <c r="O10" i="9"/>
  <c r="F9" i="23"/>
  <c r="P43" i="9"/>
  <c r="D45" i="23"/>
  <c r="P33" i="9"/>
  <c r="D35" i="23"/>
  <c r="N19" i="9"/>
  <c r="E19" i="23"/>
  <c r="N8" i="9"/>
  <c r="E7" i="23"/>
  <c r="L10" i="9"/>
  <c r="C9" i="23"/>
  <c r="L21" i="9"/>
  <c r="C21" i="23"/>
  <c r="O11" i="9"/>
  <c r="F10" i="23"/>
  <c r="O22" i="9"/>
  <c r="F22" i="23"/>
  <c r="I15" i="22"/>
  <c r="L15"/>
  <c r="O16" i="7"/>
  <c r="M16"/>
  <c r="J15" i="22"/>
  <c r="F19" i="7"/>
  <c r="J19"/>
  <c r="F41"/>
  <c r="J41"/>
  <c r="L41"/>
  <c r="O41"/>
  <c r="E69" i="6"/>
  <c r="B70"/>
  <c r="D72"/>
  <c r="H21" i="7"/>
  <c r="H43"/>
  <c r="L18" i="9"/>
  <c r="C18" i="23"/>
  <c r="L7" i="9"/>
  <c r="C6" i="23"/>
  <c r="M21" i="9"/>
  <c r="D21" i="23"/>
  <c r="M10" i="9"/>
  <c r="D9" i="23"/>
  <c r="P31" i="9"/>
  <c r="D33" i="23"/>
  <c r="O20" i="9"/>
  <c r="F20" i="23"/>
  <c r="O9" i="9"/>
  <c r="F8" i="23"/>
  <c r="P30" i="9"/>
  <c r="D32" i="23"/>
  <c r="N20" i="9"/>
  <c r="E20" i="23"/>
  <c r="N9" i="9"/>
  <c r="E8" i="23"/>
  <c r="P45" i="9"/>
  <c r="D47" i="23"/>
  <c r="P19" i="9"/>
  <c r="G19" i="23"/>
  <c r="P8" i="9"/>
  <c r="G7" i="23"/>
  <c r="P42" i="9"/>
  <c r="D44" i="23"/>
  <c r="P32" i="9"/>
  <c r="D34" i="23"/>
  <c r="M19" i="9"/>
  <c r="D19" i="23"/>
  <c r="M8" i="9"/>
  <c r="D7" i="23"/>
  <c r="P20" i="9"/>
  <c r="G20" i="23"/>
  <c r="P9" i="9"/>
  <c r="G8" i="23"/>
  <c r="N22" i="9"/>
  <c r="E22" i="23"/>
  <c r="N11" i="9"/>
  <c r="E10" i="23"/>
  <c r="P29" i="9"/>
  <c r="D31" i="23"/>
  <c r="O18" i="9"/>
  <c r="F18" i="23"/>
  <c r="O7" i="9"/>
  <c r="F6" i="23"/>
  <c r="M20" i="9"/>
  <c r="D20" i="23"/>
  <c r="M9" i="9"/>
  <c r="D8" i="23"/>
  <c r="P21" i="9"/>
  <c r="G21" i="23"/>
  <c r="P10" i="9"/>
  <c r="G9" i="23"/>
  <c r="O17" i="7"/>
  <c r="M17"/>
  <c r="I16" i="22"/>
  <c r="M39" i="7"/>
  <c r="M40"/>
  <c r="M41"/>
  <c r="O39"/>
  <c r="G31" i="23"/>
  <c r="R29" i="9"/>
  <c r="I31" i="23"/>
  <c r="R32" i="9"/>
  <c r="I34" i="23"/>
  <c r="G34"/>
  <c r="R42" i="9"/>
  <c r="I44" i="23"/>
  <c r="G44"/>
  <c r="R45" i="9"/>
  <c r="I47" i="23"/>
  <c r="G47"/>
  <c r="G32"/>
  <c r="R30" i="9"/>
  <c r="I32" i="23"/>
  <c r="R31" i="9"/>
  <c r="I33" i="23"/>
  <c r="G33"/>
  <c r="E70" i="6"/>
  <c r="F42" i="7"/>
  <c r="J42"/>
  <c r="L42"/>
  <c r="F20"/>
  <c r="J20"/>
  <c r="B71" i="6"/>
  <c r="G35" i="23"/>
  <c r="R33" i="9"/>
  <c r="I35" i="23"/>
  <c r="G45"/>
  <c r="R43" i="9"/>
  <c r="I45" i="23"/>
  <c r="R46" i="9"/>
  <c r="I48" i="23"/>
  <c r="G48"/>
  <c r="G46"/>
  <c r="R44" i="9"/>
  <c r="I46" i="23"/>
  <c r="I17" i="22"/>
  <c r="L17"/>
  <c r="O18" i="7"/>
  <c r="C75" i="6"/>
  <c r="G45" i="7"/>
  <c r="G23"/>
  <c r="C74" i="6"/>
  <c r="H44" i="7"/>
  <c r="H22"/>
  <c r="D73" i="6"/>
  <c r="G18" i="22"/>
  <c r="L19" i="7"/>
  <c r="J16" i="22"/>
  <c r="M18" i="7"/>
  <c r="L16" i="22"/>
  <c r="O19" i="7"/>
  <c r="I18" i="22"/>
  <c r="L18"/>
  <c r="D75" i="6"/>
  <c r="H45" i="7"/>
  <c r="D74" i="6"/>
  <c r="H23" i="7"/>
  <c r="G47"/>
  <c r="G25"/>
  <c r="L20"/>
  <c r="G19" i="22"/>
  <c r="G46" i="7"/>
  <c r="G24"/>
  <c r="F21"/>
  <c r="J21"/>
  <c r="G20" i="22"/>
  <c r="F43" i="7"/>
  <c r="J43"/>
  <c r="B72" i="6"/>
  <c r="E71"/>
  <c r="M42" i="7"/>
  <c r="O42"/>
  <c r="L21"/>
  <c r="L43"/>
  <c r="J17" i="22"/>
  <c r="M19" i="7"/>
  <c r="E72" i="6"/>
  <c r="F44" i="7"/>
  <c r="J44"/>
  <c r="L44"/>
  <c r="O44"/>
  <c r="F22"/>
  <c r="J22"/>
  <c r="B73" i="6"/>
  <c r="O20" i="7"/>
  <c r="I19" i="22"/>
  <c r="L19"/>
  <c r="H24" i="7"/>
  <c r="H46"/>
  <c r="H25"/>
  <c r="H26"/>
  <c r="H47"/>
  <c r="H48"/>
  <c r="G48"/>
  <c r="G26"/>
  <c r="J18" i="22"/>
  <c r="M20" i="7"/>
  <c r="J19" i="22"/>
  <c r="O43" i="7"/>
  <c r="M43"/>
  <c r="M44"/>
  <c r="I20" i="22"/>
  <c r="O21" i="7"/>
  <c r="L22"/>
  <c r="G21" i="22"/>
  <c r="B75" i="6"/>
  <c r="B74"/>
  <c r="E73"/>
  <c r="E75"/>
  <c r="F23" i="7"/>
  <c r="F45"/>
  <c r="M21"/>
  <c r="J20" i="22"/>
  <c r="L20"/>
  <c r="M22" i="7"/>
  <c r="J21" i="22"/>
  <c r="J45" i="7"/>
  <c r="F25"/>
  <c r="J25"/>
  <c r="F47"/>
  <c r="J47"/>
  <c r="L47"/>
  <c r="O47"/>
  <c r="O22"/>
  <c r="I21" i="22"/>
  <c r="L21"/>
  <c r="J23" i="7"/>
  <c r="E74" i="6"/>
  <c r="F46" i="7"/>
  <c r="J46"/>
  <c r="L46"/>
  <c r="O46"/>
  <c r="F24"/>
  <c r="J24"/>
  <c r="G23" i="22"/>
  <c r="L24" i="7"/>
  <c r="G22" i="22"/>
  <c r="G24"/>
  <c r="G25"/>
  <c r="J26" i="7"/>
  <c r="L23"/>
  <c r="L25"/>
  <c r="J48"/>
  <c r="L45"/>
  <c r="F26"/>
  <c r="F48"/>
  <c r="M45"/>
  <c r="M46"/>
  <c r="M47"/>
  <c r="O45"/>
  <c r="O48"/>
  <c r="L48"/>
  <c r="O25"/>
  <c r="I24" i="22"/>
  <c r="L24"/>
  <c r="I22"/>
  <c r="M23" i="7"/>
  <c r="O34"/>
  <c r="O23"/>
  <c r="O24"/>
  <c r="O26"/>
  <c r="L26"/>
  <c r="I23" i="22"/>
  <c r="L23"/>
  <c r="J22"/>
  <c r="M24" i="7"/>
  <c r="I25" i="22"/>
  <c r="G33"/>
  <c r="L22"/>
  <c r="L25"/>
  <c r="G37"/>
  <c r="M25" i="7"/>
  <c r="J24" i="22"/>
  <c r="J23"/>
</calcChain>
</file>

<file path=xl/sharedStrings.xml><?xml version="1.0" encoding="utf-8"?>
<sst xmlns="http://schemas.openxmlformats.org/spreadsheetml/2006/main" count="3592" uniqueCount="869">
  <si>
    <t>November</t>
  </si>
  <si>
    <t>Total November</t>
  </si>
  <si>
    <t>Mow Cover Crop</t>
  </si>
  <si>
    <t>December</t>
  </si>
  <si>
    <t>Total December</t>
  </si>
  <si>
    <t>Order plants</t>
  </si>
  <si>
    <t>Remove noxious weeds from field perimeter</t>
  </si>
  <si>
    <t xml:space="preserve"> </t>
  </si>
  <si>
    <t>Month</t>
  </si>
  <si>
    <t>code</t>
  </si>
  <si>
    <t>Equipment used</t>
  </si>
  <si>
    <t>Materials used</t>
  </si>
  <si>
    <t>Labor used</t>
  </si>
  <si>
    <t>Summary</t>
  </si>
  <si>
    <t>Cumulative</t>
  </si>
  <si>
    <t>hrs</t>
  </si>
  <si>
    <t>cost/hr</t>
  </si>
  <si>
    <t>eqcost</t>
  </si>
  <si>
    <t>price</t>
  </si>
  <si>
    <t xml:space="preserve">unit </t>
  </si>
  <si>
    <t>qt</t>
  </si>
  <si>
    <t>matcost</t>
  </si>
  <si>
    <t>cost</t>
  </si>
  <si>
    <t>costs</t>
  </si>
  <si>
    <t>Internet service</t>
  </si>
  <si>
    <t>Monthly fee</t>
  </si>
  <si>
    <t>pint</t>
  </si>
  <si>
    <t>October</t>
  </si>
  <si>
    <t>May</t>
  </si>
  <si>
    <t>Total May</t>
  </si>
  <si>
    <t>Sample Soil</t>
  </si>
  <si>
    <t>Hand Labor &amp; Soil Auger</t>
  </si>
  <si>
    <t>Apply Herb</t>
  </si>
  <si>
    <t>Plow Field</t>
  </si>
  <si>
    <t>Disc Field</t>
  </si>
  <si>
    <t>Apply Nutrients</t>
  </si>
  <si>
    <t>60 HP-WT &amp; Disc</t>
  </si>
  <si>
    <t>Total October</t>
  </si>
  <si>
    <t>Taxes</t>
  </si>
  <si>
    <t>Real Estate Taxes</t>
  </si>
  <si>
    <t>Management</t>
  </si>
  <si>
    <t>Management Fee</t>
  </si>
  <si>
    <t xml:space="preserve">Land Cost </t>
  </si>
  <si>
    <t>Net Land Rent</t>
  </si>
  <si>
    <t>Annual</t>
  </si>
  <si>
    <t>Miscellaneous</t>
  </si>
  <si>
    <t>Overhead</t>
  </si>
  <si>
    <t>Utilities, Legal, Accounting, Etc.</t>
  </si>
  <si>
    <t>Annual Administrative Costs + Taxes</t>
  </si>
  <si>
    <t>Total Annual Administrative Costs + Taxes</t>
  </si>
  <si>
    <t>Seasonal Costs</t>
  </si>
  <si>
    <t>Pick-up</t>
  </si>
  <si>
    <t>1/2 Ton Pick-up</t>
  </si>
  <si>
    <t>Operating Capital</t>
  </si>
  <si>
    <t>Total Seasonal Costs</t>
  </si>
  <si>
    <t>Seasonal</t>
  </si>
  <si>
    <t>YEAR 0: LAND PREPARATION STAGE</t>
  </si>
  <si>
    <t>April</t>
  </si>
  <si>
    <t>Total April</t>
  </si>
  <si>
    <t>Order &amp; Plant cover crop</t>
  </si>
  <si>
    <t>lbs</t>
  </si>
  <si>
    <t>Lime</t>
  </si>
  <si>
    <t>tons</t>
  </si>
  <si>
    <t>Ammonium nitrate</t>
  </si>
  <si>
    <t>TOTALYEAR 0 SITE-PREPARATION COSTS</t>
  </si>
  <si>
    <t>Blackberry Base Production Sequence. YEAR 0: LAND PREPARATION STAGE</t>
  </si>
  <si>
    <t xml:space="preserve"> Type op.</t>
  </si>
  <si>
    <t>Descr.</t>
  </si>
  <si>
    <t>Attend Grower Meeting</t>
  </si>
  <si>
    <t>February</t>
  </si>
  <si>
    <t>Nematode assay NCDA&amp;CS</t>
  </si>
  <si>
    <t>June - September</t>
  </si>
  <si>
    <t>Total June-September</t>
  </si>
  <si>
    <t>Mow Alleys</t>
  </si>
  <si>
    <t>Total February</t>
  </si>
  <si>
    <t>Blackberry Base Production Sequence. YEAR 1:PLANTING</t>
  </si>
  <si>
    <t>Type op.</t>
  </si>
  <si>
    <t>descr.</t>
  </si>
  <si>
    <t>YEAR 1: PLANTING</t>
  </si>
  <si>
    <t>January</t>
  </si>
  <si>
    <t>Total January</t>
  </si>
  <si>
    <t xml:space="preserve">Attend Grower Meetings </t>
  </si>
  <si>
    <t>Mark row (flags)</t>
  </si>
  <si>
    <t>Hand labor</t>
  </si>
  <si>
    <t>March</t>
  </si>
  <si>
    <t>Fumigate Strips (4356 linear feet)</t>
  </si>
  <si>
    <t>60 HP-WT</t>
  </si>
  <si>
    <t xml:space="preserve">Plant Blackberries </t>
  </si>
  <si>
    <t>Hand Labor &amp; Misc. Tools</t>
  </si>
  <si>
    <t xml:space="preserve">Set up irrigation system </t>
  </si>
  <si>
    <t>Utility Trailer &amp; Hand Labor</t>
  </si>
  <si>
    <t>Irrigate/Fertilize</t>
  </si>
  <si>
    <t>Hand Labor &amp; Drip Irrigation System</t>
  </si>
  <si>
    <t>Total March</t>
  </si>
  <si>
    <t>Order &amp; Replant</t>
  </si>
  <si>
    <t>Hand Labor &amp; Miscellaneous Tools</t>
  </si>
  <si>
    <t>Mark post locations</t>
  </si>
  <si>
    <t>Auger post holes</t>
  </si>
  <si>
    <t>Build Trellis</t>
  </si>
  <si>
    <t>Boron (20% Solubor)</t>
  </si>
  <si>
    <t>Mow alleys</t>
  </si>
  <si>
    <t>Train</t>
  </si>
  <si>
    <t>Hand Labor</t>
  </si>
  <si>
    <t>Hand Hoe</t>
  </si>
  <si>
    <t>Train/Prune</t>
  </si>
  <si>
    <t>June</t>
  </si>
  <si>
    <t>Irrigate</t>
  </si>
  <si>
    <t>Total June</t>
  </si>
  <si>
    <t>July</t>
  </si>
  <si>
    <t>Total July</t>
  </si>
  <si>
    <t>August</t>
  </si>
  <si>
    <t>Total August</t>
  </si>
  <si>
    <t>September</t>
  </si>
  <si>
    <t>Captan 50 WP</t>
  </si>
  <si>
    <t>Apply Herbicide</t>
  </si>
  <si>
    <t>Total September</t>
  </si>
  <si>
    <t>Oct - Dec</t>
  </si>
  <si>
    <t>Total October - December</t>
  </si>
  <si>
    <t>Investment</t>
  </si>
  <si>
    <t>Interest on Accumulating Investment</t>
  </si>
  <si>
    <t>TOTALYEAR 1 PLANTING COSTS</t>
  </si>
  <si>
    <t>YEAR  2: HARVEST</t>
  </si>
  <si>
    <t>Hand Labor &amp; Shears</t>
  </si>
  <si>
    <t>gallon</t>
  </si>
  <si>
    <t>Set up irrigation system</t>
  </si>
  <si>
    <t>Gramoxone</t>
  </si>
  <si>
    <t>Captan 50WP</t>
  </si>
  <si>
    <t>oz</t>
  </si>
  <si>
    <t>Harvest Preparation</t>
  </si>
  <si>
    <t>Beehives</t>
  </si>
  <si>
    <t>hive</t>
  </si>
  <si>
    <t>Bordeaux (cuprofix disperses)</t>
  </si>
  <si>
    <t>Rovral</t>
  </si>
  <si>
    <t>Elevate 50WDG</t>
  </si>
  <si>
    <t>Pheromone Traps</t>
  </si>
  <si>
    <t>Bird Detterent Management</t>
  </si>
  <si>
    <t xml:space="preserve">Beehives (Rental) </t>
  </si>
  <si>
    <t>Nova 40W</t>
  </si>
  <si>
    <t>Leaf Analysis</t>
  </si>
  <si>
    <t>Remove Canes</t>
  </si>
  <si>
    <t>Hand Labor &amp; Drip. Irrigation system</t>
  </si>
  <si>
    <t>Aliette WSP</t>
  </si>
  <si>
    <t>Repair Trellis</t>
  </si>
  <si>
    <t>YEAR  3: HARVEST</t>
  </si>
  <si>
    <t>Equipment</t>
  </si>
  <si>
    <t>Materials</t>
  </si>
  <si>
    <t>Labor</t>
  </si>
  <si>
    <t>Total</t>
  </si>
  <si>
    <t>Year 0</t>
  </si>
  <si>
    <t>Annual Growing Costs</t>
  </si>
  <si>
    <t>Total Costs</t>
  </si>
  <si>
    <t>Revenue</t>
  </si>
  <si>
    <t>Net Cash Flow</t>
  </si>
  <si>
    <t>Accumulated Cash Flow</t>
  </si>
  <si>
    <t>Present Value of Net Cash Flow</t>
  </si>
  <si>
    <t>Cost</t>
  </si>
  <si>
    <t>Year 1</t>
  </si>
  <si>
    <t>Year 2</t>
  </si>
  <si>
    <t>Material</t>
  </si>
  <si>
    <t>Rate/</t>
  </si>
  <si>
    <t>Unit</t>
  </si>
  <si>
    <t>Cost/</t>
  </si>
  <si>
    <t>Acre</t>
  </si>
  <si>
    <t>Fumigant</t>
  </si>
  <si>
    <t>Total Fumigants</t>
  </si>
  <si>
    <t>Herbicides</t>
  </si>
  <si>
    <t>Total Herbicides</t>
  </si>
  <si>
    <t>IPM Scouting</t>
  </si>
  <si>
    <t>Total IPM Scouting</t>
  </si>
  <si>
    <t>Fungicides</t>
  </si>
  <si>
    <t>lb</t>
  </si>
  <si>
    <t>Total Fungicides</t>
  </si>
  <si>
    <t>Total Trellis</t>
  </si>
  <si>
    <t>General</t>
  </si>
  <si>
    <t>Blackberry Plants</t>
  </si>
  <si>
    <t>plants</t>
  </si>
  <si>
    <t>2400' roll</t>
  </si>
  <si>
    <t>6000ft</t>
  </si>
  <si>
    <t>Total General</t>
  </si>
  <si>
    <t>Machinery Description</t>
  </si>
  <si>
    <t>Purchase Price</t>
  </si>
  <si>
    <t>Salvage Value</t>
  </si>
  <si>
    <t>Years of Life</t>
  </si>
  <si>
    <t>Depreciation</t>
  </si>
  <si>
    <t>Insurance</t>
  </si>
  <si>
    <t>Interest</t>
  </si>
  <si>
    <t>Total Ownership Cost / Year</t>
  </si>
  <si>
    <t>Total Annual Operating Costs</t>
  </si>
  <si>
    <t>Tractor, 30hp</t>
  </si>
  <si>
    <t>30 HP</t>
  </si>
  <si>
    <t>Tractor, 60hp</t>
  </si>
  <si>
    <t>60 HP</t>
  </si>
  <si>
    <t>7'</t>
  </si>
  <si>
    <t>9' Disc</t>
  </si>
  <si>
    <t>Utility Trailer</t>
  </si>
  <si>
    <t>1/2 Ton Pickup</t>
  </si>
  <si>
    <t>Well</t>
  </si>
  <si>
    <t>Total Annual Cost to Farm Business</t>
  </si>
  <si>
    <t>Fertilizer Injector</t>
  </si>
  <si>
    <t>Order Prunning Equipment</t>
  </si>
  <si>
    <t>Boom Sprayer 1</t>
  </si>
  <si>
    <t>PTO Blast Sprayer 1</t>
  </si>
  <si>
    <t>7' Rotary Mower 1</t>
  </si>
  <si>
    <t>Total Costs Year 4</t>
  </si>
  <si>
    <t>Total Costs Year 5</t>
  </si>
  <si>
    <t>Total Costs Year 6</t>
  </si>
  <si>
    <t>Total Costs Year 7</t>
  </si>
  <si>
    <t>Total Costs Year 8</t>
  </si>
  <si>
    <t>Total Costs Year 9</t>
  </si>
  <si>
    <t>Total Costs Year 10</t>
  </si>
  <si>
    <t>ea</t>
  </si>
  <si>
    <t>Order trellis supplies*</t>
  </si>
  <si>
    <t>* See Materials for detailed description of trellis items and cost/item</t>
  </si>
  <si>
    <t>7' Tine Chisel Plow</t>
  </si>
  <si>
    <t>Plastic Layer / Fumigator</t>
  </si>
  <si>
    <t>60 HP-WT &amp; 7' Tine Chisel Plow</t>
  </si>
  <si>
    <t xml:space="preserve">60 HP-WT </t>
  </si>
  <si>
    <t>Plastic film</t>
  </si>
  <si>
    <t>Drip tape</t>
  </si>
  <si>
    <t>Sudangrass (cover crop)</t>
  </si>
  <si>
    <t>Bee hive (Rental Cost)</t>
  </si>
  <si>
    <t>Flags</t>
  </si>
  <si>
    <t>bundle</t>
  </si>
  <si>
    <t>2 row - 40"/row</t>
  </si>
  <si>
    <t>single axe</t>
  </si>
  <si>
    <t>No. App</t>
  </si>
  <si>
    <t xml:space="preserve">No. App </t>
  </si>
  <si>
    <t>Blackberry Plants - replant</t>
  </si>
  <si>
    <t>55 gal</t>
  </si>
  <si>
    <t>110 gal</t>
  </si>
  <si>
    <t>60 HP-WT &amp; Boom Sprayer</t>
  </si>
  <si>
    <t>60 HP-WT &amp; Rotary Mower</t>
  </si>
  <si>
    <t>60 HP - WT+ Soil Auger</t>
  </si>
  <si>
    <t>60 HP &amp; Rotary Mower 7'</t>
  </si>
  <si>
    <t>60 HP &amp; Boom Sprayer 7'</t>
  </si>
  <si>
    <t>60 HP &amp; PTO Blast Sprayer</t>
  </si>
  <si>
    <t>60 HP + Rotary Mower 7'</t>
  </si>
  <si>
    <t>Pruning Euqipment</t>
  </si>
  <si>
    <t>Telone-chloroplicrin 35</t>
  </si>
  <si>
    <t>Insecticides</t>
  </si>
  <si>
    <t>Total Insecticides</t>
  </si>
  <si>
    <t>Total Fertilizers &amp; Nutrients</t>
  </si>
  <si>
    <t>Fertilizers &amp; Nutrients</t>
  </si>
  <si>
    <t>Yield/A (lbs.)</t>
  </si>
  <si>
    <t>Equip</t>
  </si>
  <si>
    <t>Yrs 3-10</t>
  </si>
  <si>
    <t>Costs of Materials Used in Blackberry Production</t>
  </si>
  <si>
    <t>Discount Factor (6%)*</t>
  </si>
  <si>
    <t>Year &amp;</t>
  </si>
  <si>
    <t>Costs</t>
  </si>
  <si>
    <t>Prep Year</t>
  </si>
  <si>
    <t>Annual Charges</t>
  </si>
  <si>
    <t>First Year</t>
  </si>
  <si>
    <t>Second Year</t>
  </si>
  <si>
    <t>Third Year</t>
  </si>
  <si>
    <t>Total Prep Year</t>
  </si>
  <si>
    <t>Total First Year</t>
  </si>
  <si>
    <t>Total Second Year</t>
  </si>
  <si>
    <t>Total Third Year</t>
  </si>
  <si>
    <t>Seasonal Charges</t>
  </si>
  <si>
    <t>Monthly Labor Estimates</t>
  </si>
  <si>
    <t>(Hours)</t>
  </si>
  <si>
    <t>Packing Materials</t>
  </si>
  <si>
    <t>Each</t>
  </si>
  <si>
    <t>Prices Received By Growers:</t>
  </si>
  <si>
    <t>Percent of Crop Marketed Through:</t>
  </si>
  <si>
    <t>Breakeven and Net Present Value Analysis</t>
  </si>
  <si>
    <t>qty</t>
  </si>
  <si>
    <t xml:space="preserve">Order Harvest Supplies </t>
  </si>
  <si>
    <t>Yield =</t>
  </si>
  <si>
    <t>Percent Production =</t>
  </si>
  <si>
    <t>Order Harvest Supplies</t>
  </si>
  <si>
    <t>TOTAL ANNUAL COSTS - 2nd Year</t>
  </si>
  <si>
    <t>TOTAL ANNUAL COSTS - 3rd Year</t>
  </si>
  <si>
    <t>Annual Production Cost Check:</t>
  </si>
  <si>
    <t>Production Costs w/o Harvest Costs</t>
  </si>
  <si>
    <t>Harvest Costs</t>
  </si>
  <si>
    <t>Total Costs - Check</t>
  </si>
  <si>
    <t>Check</t>
  </si>
  <si>
    <t>Returns</t>
  </si>
  <si>
    <t>Prices Received:</t>
  </si>
  <si>
    <t>Wholesale Market ($/lb)</t>
  </si>
  <si>
    <t>Gross Revenues</t>
  </si>
  <si>
    <t>Yr</t>
  </si>
  <si>
    <t>NPV: 6%</t>
  </si>
  <si>
    <t>10 acres</t>
  </si>
  <si>
    <t>1 acre</t>
  </si>
  <si>
    <t>Utility Vehicle</t>
  </si>
  <si>
    <t>26 HP</t>
  </si>
  <si>
    <t>-</t>
  </si>
  <si>
    <t>Surflan</t>
  </si>
  <si>
    <t>Simizine</t>
  </si>
  <si>
    <t>Kocide</t>
  </si>
  <si>
    <t>Spintor</t>
  </si>
  <si>
    <t>Pristine WG</t>
  </si>
  <si>
    <t>Capture 2EC</t>
  </si>
  <si>
    <t>Captan 50 W</t>
  </si>
  <si>
    <t>Liquid Lime Sulphur</t>
  </si>
  <si>
    <t>quart</t>
  </si>
  <si>
    <t>Malathion 57 EC</t>
  </si>
  <si>
    <t>1 month</t>
  </si>
  <si>
    <t>Capture 2 EC</t>
  </si>
  <si>
    <t>10 Acre</t>
  </si>
  <si>
    <t>Drip Irrigation Syst. &amp; Pump**</t>
  </si>
  <si>
    <t>Wholesale Price:</t>
  </si>
  <si>
    <t xml:space="preserve">Cull Price: </t>
  </si>
  <si>
    <t>Wholesale Price</t>
  </si>
  <si>
    <t>Cull Price</t>
  </si>
  <si>
    <t>Wholesale</t>
  </si>
  <si>
    <t>Refridgerated Truck</t>
  </si>
  <si>
    <t>Ibs</t>
  </si>
  <si>
    <t>5 Gallon Cull buckets</t>
  </si>
  <si>
    <t>5 - Gallon Cull containers</t>
  </si>
  <si>
    <t>5 - gallon cull containers</t>
  </si>
  <si>
    <t>6' Heavy duty metal fence posts (20/ row)</t>
  </si>
  <si>
    <t>Apply Insecticide</t>
  </si>
  <si>
    <t>Apply Fungicide</t>
  </si>
  <si>
    <t xml:space="preserve">Apply Insecticide </t>
  </si>
  <si>
    <t>Apply Insecticide &amp; Fungicide</t>
  </si>
  <si>
    <t>Sul-Po-Mg</t>
  </si>
  <si>
    <t>Boron (20% Solubor) (1/8 lb/A)</t>
  </si>
  <si>
    <t>Potassium nitrate (0.5 lb/day)</t>
  </si>
  <si>
    <t xml:space="preserve">Calcium nitrate: March (0.75 lb N/day): </t>
  </si>
  <si>
    <t>Calcium nitrate: April (0.75 lb N/day)</t>
  </si>
  <si>
    <t>Calcium nitrate: May (0.50 lb/day)</t>
  </si>
  <si>
    <t xml:space="preserve">    Telone-chloroplicrin-35</t>
  </si>
  <si>
    <t xml:space="preserve">   Plastic film </t>
  </si>
  <si>
    <t xml:space="preserve">   Drip tape</t>
  </si>
  <si>
    <t xml:space="preserve">   Gramoxone</t>
  </si>
  <si>
    <t>Loan Interest Rate</t>
  </si>
  <si>
    <t>Insurance Rate</t>
  </si>
  <si>
    <t>Tax Rate</t>
  </si>
  <si>
    <t>Tractor 30 hp (D)</t>
  </si>
  <si>
    <t>Tractor 60 hp (D)</t>
  </si>
  <si>
    <t>Utility Vehicle (G)</t>
  </si>
  <si>
    <t>Annual Hours of Use</t>
  </si>
  <si>
    <t>Culls</t>
  </si>
  <si>
    <t>(31days @ 24 hours/day)</t>
  </si>
  <si>
    <t>(30days @ 24 hours/day)</t>
  </si>
  <si>
    <t>(27days @ 10 hours/day)</t>
  </si>
  <si>
    <t>(26days @ 10 hours/day)</t>
  </si>
  <si>
    <t>Refridgerated Truck (Used)</t>
  </si>
  <si>
    <t>Sorting Room*</t>
  </si>
  <si>
    <t>Sorting Room</t>
  </si>
  <si>
    <t>Flats (12 1/2 pint clam shells/flat)</t>
  </si>
  <si>
    <t>Harvest Labor</t>
  </si>
  <si>
    <t>Picking Labor</t>
  </si>
  <si>
    <t>Transport Labor from Field to Sorting Room</t>
  </si>
  <si>
    <t>Sorting Room Labor (Quality Control, Repacking, Stacking in Cooling room, etc)</t>
  </si>
  <si>
    <t>Hour</t>
  </si>
  <si>
    <t>Transporting fruit (5.5 hrs @ 26 days)</t>
  </si>
  <si>
    <t>(miles of use:4/wk @100mi/trip)</t>
  </si>
  <si>
    <t>Transporting fruit (5.5 hrs @ 27 days)</t>
  </si>
  <si>
    <t>(Lbs)</t>
  </si>
  <si>
    <t>$/Flat</t>
  </si>
  <si>
    <t>$/lb</t>
  </si>
  <si>
    <t>(Flats)</t>
  </si>
  <si>
    <t>Total Yield/A</t>
  </si>
  <si>
    <t>Wholesale Yield per Acre</t>
  </si>
  <si>
    <t>Calculated by dollars per pound</t>
  </si>
  <si>
    <t>Calculated by dollars per flat</t>
  </si>
  <si>
    <t>Percent of Crop Marketed:</t>
  </si>
  <si>
    <t>Sensitivity Analysis:</t>
  </si>
  <si>
    <t xml:space="preserve">   Estimated Returns to Land &amp; Mgt/Acre for varying Prices &amp; Yields</t>
  </si>
  <si>
    <t>Culled</t>
  </si>
  <si>
    <t>///////////////</t>
  </si>
  <si>
    <t>///////////////////</t>
  </si>
  <si>
    <t>/////////////////</t>
  </si>
  <si>
    <t>//////////////////////</t>
  </si>
  <si>
    <t>////////////////</t>
  </si>
  <si>
    <t>WholesalePrice Distribution</t>
  </si>
  <si>
    <t>($/pound)</t>
  </si>
  <si>
    <t>($/Flat)</t>
  </si>
  <si>
    <t>(lbs)</t>
  </si>
  <si>
    <t>Wholesale Yield/A</t>
  </si>
  <si>
    <t>//////////////////</t>
  </si>
  <si>
    <t>Base Costs that do not change due to Yield Variations</t>
  </si>
  <si>
    <t>Cull      Price</t>
  </si>
  <si>
    <t>Cooler/Coooling Unit (used)</t>
  </si>
  <si>
    <t>Cooler/Coooling Unit (new)</t>
  </si>
  <si>
    <t>Sorting/Storage Room</t>
  </si>
  <si>
    <t>357 sq ft</t>
  </si>
  <si>
    <t>4,000 sq ft</t>
  </si>
  <si>
    <t>Soring/Storage Room Costs</t>
  </si>
  <si>
    <t>Cooler/Cooling Unit Costs</t>
  </si>
  <si>
    <t>Clam Shell label  ($0.02 each if bought separate from clam shells)</t>
  </si>
  <si>
    <t>Flats (12 Clam Shells) ($0.55 each)</t>
  </si>
  <si>
    <t>Market Prices</t>
  </si>
  <si>
    <t>Drip Irrigation Syst. &amp; Pump</t>
  </si>
  <si>
    <t>30HP+Utility Trailer &amp; Hand Labor</t>
  </si>
  <si>
    <t>18-18-18</t>
  </si>
  <si>
    <t xml:space="preserve">   18-18-18 (20 lbs N/month)</t>
  </si>
  <si>
    <t>Apply Fertilizer</t>
  </si>
  <si>
    <t>60Hp Tractor+Air Blast Sprayer</t>
  </si>
  <si>
    <t xml:space="preserve">   18-18-18 (30 lbs N/month)</t>
  </si>
  <si>
    <t>Apply Fungicide (2x)</t>
  </si>
  <si>
    <t>Liqiud Lime Sulfur</t>
  </si>
  <si>
    <t>Wholesale Market ($/flat)</t>
  </si>
  <si>
    <t>Yield/A (flats)</t>
  </si>
  <si>
    <t xml:space="preserve">  Yield per Acre                                                                   (Pounds)</t>
  </si>
  <si>
    <t>Picking Labor ($3.50/flat))</t>
  </si>
  <si>
    <t>Field Supervisor</t>
  </si>
  <si>
    <t>Flat</t>
  </si>
  <si>
    <t>Sorting room ($0.25/flat)</t>
  </si>
  <si>
    <t>Field Supervisor ($0.50/flat)</t>
  </si>
  <si>
    <t>Flats</t>
  </si>
  <si>
    <t xml:space="preserve">Flats </t>
  </si>
  <si>
    <t>Picking Labor ($3.50/flat)</t>
  </si>
  <si>
    <t>Sorting room ($0.25/flat))</t>
  </si>
  <si>
    <t>Picking Labor ($3.50/falt)</t>
  </si>
  <si>
    <t>Yield</t>
  </si>
  <si>
    <t>Market</t>
  </si>
  <si>
    <t>(flats)</t>
  </si>
  <si>
    <t>Base</t>
  </si>
  <si>
    <t>Market Yield/A</t>
  </si>
  <si>
    <t xml:space="preserve"> Marketable Yield per Acre                                                 (Flats)</t>
  </si>
  <si>
    <t>Wholesale Market</t>
  </si>
  <si>
    <t>$</t>
  </si>
  <si>
    <t>Equipment &amp; Machinery Purchases</t>
  </si>
  <si>
    <t>Yield Distribution</t>
  </si>
  <si>
    <t xml:space="preserve">Year 1 = 1/10th of the cost of blast sprayer, drip irrigation system, well, fertilizer injector, </t>
  </si>
  <si>
    <t>plastic layer/fumigator and pruning equiment</t>
  </si>
  <si>
    <t>Year 2 = 1/10th of the cost of a storage/sorting room, cooling unit, and used refrigerated truck</t>
  </si>
  <si>
    <t>LABOR COST WORKSHEET</t>
  </si>
  <si>
    <t>(Fill in blue cells as appropriate)</t>
  </si>
  <si>
    <t>Employee Name:</t>
  </si>
  <si>
    <t>Title:</t>
  </si>
  <si>
    <t>Employee</t>
  </si>
  <si>
    <t>Owner Name</t>
  </si>
  <si>
    <t>Boss</t>
  </si>
  <si>
    <r>
      <t>Required Payroll Expenses</t>
    </r>
    <r>
      <rPr>
        <sz val="10"/>
        <rFont val="Arial"/>
      </rPr>
      <t>:</t>
    </r>
  </si>
  <si>
    <t>Employer Costs</t>
  </si>
  <si>
    <t>1.  Wages:</t>
  </si>
  <si>
    <t>a.</t>
  </si>
  <si>
    <t>Hrs/Wk:</t>
  </si>
  <si>
    <t>x Weeks:</t>
  </si>
  <si>
    <t>b.</t>
  </si>
  <si>
    <t>Total Hrs:</t>
  </si>
  <si>
    <t>x $/HR:</t>
  </si>
  <si>
    <t>2.  Employer Share of OASDI:</t>
  </si>
  <si>
    <t xml:space="preserve"> of first</t>
  </si>
  <si>
    <t xml:space="preserve">     Employer Share of HI:</t>
  </si>
  <si>
    <t xml:space="preserve"> 3.  Unemployment Insurance</t>
  </si>
  <si>
    <t>State</t>
  </si>
  <si>
    <t>of first</t>
  </si>
  <si>
    <t>Federal</t>
  </si>
  <si>
    <t>4.  Workman's Compensation Insurance:</t>
  </si>
  <si>
    <t>per $100</t>
  </si>
  <si>
    <r>
      <t xml:space="preserve">5.  Total Required Payroll Expenses: </t>
    </r>
    <r>
      <rPr>
        <sz val="10"/>
        <rFont val="Arial"/>
      </rPr>
      <t>(Lines 1 +2 + 3 + 4)</t>
    </r>
  </si>
  <si>
    <t>Fringe Benefits:</t>
  </si>
  <si>
    <t>6.  Cash Bonuses:</t>
  </si>
  <si>
    <t>7.  Insurance:</t>
  </si>
  <si>
    <t>a. Health</t>
  </si>
  <si>
    <t>b. Medical</t>
  </si>
  <si>
    <t>c. Life</t>
  </si>
  <si>
    <t>d. Dental</t>
  </si>
  <si>
    <t>e. Eye Care</t>
  </si>
  <si>
    <t>f. Other:</t>
  </si>
  <si>
    <t>g. Other</t>
  </si>
  <si>
    <t>SUBTOTAL</t>
  </si>
  <si>
    <t>8.  Retirement Plan:</t>
  </si>
  <si>
    <t>9.  Uniforms:</t>
  </si>
  <si>
    <t>10. Travel Allowance:</t>
  </si>
  <si>
    <t>11. Transportation</t>
  </si>
  <si>
    <t>12. Tuition Assistance or Continuing Education</t>
  </si>
  <si>
    <t>13. Company Vehicle</t>
  </si>
  <si>
    <t>14. Other</t>
  </si>
  <si>
    <t>15. Other</t>
  </si>
  <si>
    <t>16. Other</t>
  </si>
  <si>
    <t>17. Other</t>
  </si>
  <si>
    <r>
      <t>18.</t>
    </r>
    <r>
      <rPr>
        <sz val="10"/>
        <rFont val="Arial"/>
      </rPr>
      <t xml:space="preserve"> </t>
    </r>
    <r>
      <rPr>
        <b/>
        <sz val="10"/>
        <rFont val="Arial"/>
        <family val="2"/>
      </rPr>
      <t>Total Value of Fringe Benefits</t>
    </r>
    <r>
      <rPr>
        <sz val="10"/>
        <rFont val="Arial"/>
      </rPr>
      <t>: (Lines 6 thru 17)</t>
    </r>
  </si>
  <si>
    <r>
      <t xml:space="preserve">19. TOTAL PAYROLL EXPENSES: </t>
    </r>
    <r>
      <rPr>
        <sz val="10"/>
        <rFont val="Arial"/>
      </rPr>
      <t>(Line 5 + 18)</t>
    </r>
  </si>
  <si>
    <t>20. Paid Hours Not Worked:</t>
  </si>
  <si>
    <t xml:space="preserve">     a. Holidays</t>
  </si>
  <si>
    <t>Days x 8 Hours =</t>
  </si>
  <si>
    <t>Hrs.</t>
  </si>
  <si>
    <t xml:space="preserve">     b. Vacation</t>
  </si>
  <si>
    <t xml:space="preserve">     c. Sick</t>
  </si>
  <si>
    <t>21. Total hours paid but not worked:</t>
  </si>
  <si>
    <t>Hrs</t>
  </si>
  <si>
    <t>22. Total Hours on the Job:</t>
  </si>
  <si>
    <r>
      <t xml:space="preserve">23. TOTAL COST PER HOUR ON THE JOB: </t>
    </r>
    <r>
      <rPr>
        <sz val="10"/>
        <rFont val="Arial"/>
      </rPr>
      <t>(Line 19/Line 22)</t>
    </r>
  </si>
  <si>
    <t xml:space="preserve">ESTIMATED BLACKBERRY PRODUCTION COSTS PER ACRE: LAND PREPARATION </t>
  </si>
  <si>
    <t>Your</t>
  </si>
  <si>
    <t>Type of Operation</t>
  </si>
  <si>
    <t>Internet service (Monthly Fee)</t>
  </si>
  <si>
    <t>Annual Administrative Costs</t>
  </si>
  <si>
    <t xml:space="preserve">Overhead (Utilities, legal fees, etc.) </t>
  </si>
  <si>
    <t>Total Annual Administrative Costs</t>
  </si>
  <si>
    <t>TOTAL SITE PREPARATION COSTS</t>
  </si>
  <si>
    <t>ESTIMATED BLACKBERRY PRODUCTION COSTS PER ACRE:  YEAR 1 - PLANTING YEAR</t>
  </si>
  <si>
    <t>Internet service (Monthly fee)</t>
  </si>
  <si>
    <t xml:space="preserve">   Telone-chloroplicrin-35</t>
  </si>
  <si>
    <t>Hand weed</t>
  </si>
  <si>
    <t>October - December</t>
  </si>
  <si>
    <t>Overhead (Utilities, legal fees, etc.)</t>
  </si>
  <si>
    <t>ESTIMATED BLACKBERRY PRODUCTION COSTS PER ACRE: YEAR 3 - SECOND HARVEST</t>
  </si>
  <si>
    <t>6 oz clam shells with labels</t>
  </si>
  <si>
    <t>Picking Labor¹</t>
  </si>
  <si>
    <t>Notes:</t>
  </si>
  <si>
    <t>Cooler/Cooling Unit</t>
  </si>
  <si>
    <t>Used 24 hours per day, 7 days per week</t>
  </si>
  <si>
    <t>Used 10 hours per day, 6 days per week</t>
  </si>
  <si>
    <t>ESTIMATED BLACKBERRY PRODUCTION COSTS PER ACRE</t>
  </si>
  <si>
    <t>Year &amp; Month</t>
  </si>
  <si>
    <t>Land Preparation</t>
  </si>
  <si>
    <t>First Year: Planting Year</t>
  </si>
  <si>
    <t xml:space="preserve">Your </t>
  </si>
  <si>
    <t>Estimate</t>
  </si>
  <si>
    <t>Miscellaneous Labor</t>
  </si>
  <si>
    <t>Second Year: First Harvest</t>
  </si>
  <si>
    <r>
      <t>June</t>
    </r>
    <r>
      <rPr>
        <sz val="10"/>
        <rFont val="Arial"/>
      </rPr>
      <t>¹</t>
    </r>
  </si>
  <si>
    <r>
      <t>July</t>
    </r>
    <r>
      <rPr>
        <sz val="10"/>
        <rFont val="Arial"/>
      </rPr>
      <t>¹</t>
    </r>
  </si>
  <si>
    <r>
      <t>August</t>
    </r>
    <r>
      <rPr>
        <sz val="10"/>
        <rFont val="Arial"/>
      </rPr>
      <t>¹</t>
    </r>
  </si>
  <si>
    <r>
      <t xml:space="preserve"> Marketable Flats per Acre</t>
    </r>
    <r>
      <rPr>
        <sz val="10"/>
        <rFont val="Arial"/>
      </rPr>
      <t>¹</t>
    </r>
  </si>
  <si>
    <r>
      <t>Yield per Acre</t>
    </r>
    <r>
      <rPr>
        <sz val="10"/>
        <rFont val="Arial"/>
      </rPr>
      <t>¹</t>
    </r>
    <r>
      <rPr>
        <sz val="10"/>
        <rFont val="Arial"/>
      </rPr>
      <t xml:space="preserve">                                                                                                                                                                                               (Pounds)</t>
    </r>
  </si>
  <si>
    <t>Yield per Acre</t>
  </si>
  <si>
    <t>Total      Costs</t>
  </si>
  <si>
    <t>($/lb)</t>
  </si>
  <si>
    <t>($/A)</t>
  </si>
  <si>
    <t>Total     Costs</t>
  </si>
  <si>
    <t>(Pounds)</t>
  </si>
  <si>
    <t>Breakeven and Net Present Value Analysis for Commercial Blackberry Production</t>
  </si>
  <si>
    <r>
      <t>Wholesale Yield per Acre</t>
    </r>
    <r>
      <rPr>
        <sz val="10"/>
        <rFont val="Arial"/>
      </rPr>
      <t>¹</t>
    </r>
  </si>
  <si>
    <t>Equipment &amp;</t>
  </si>
  <si>
    <t>Net Cash</t>
  </si>
  <si>
    <t>Discount</t>
  </si>
  <si>
    <t>Present</t>
  </si>
  <si>
    <t>Machinery</t>
  </si>
  <si>
    <t>Flow</t>
  </si>
  <si>
    <t>Accumulated</t>
  </si>
  <si>
    <t>Factor</t>
  </si>
  <si>
    <t>Value of Net</t>
  </si>
  <si>
    <t>Year</t>
  </si>
  <si>
    <t>per Acre</t>
  </si>
  <si>
    <r>
      <t>Purchases</t>
    </r>
    <r>
      <rPr>
        <sz val="10"/>
        <rFont val="Arial"/>
      </rPr>
      <t>²³</t>
    </r>
  </si>
  <si>
    <t>Cash Flow</t>
  </si>
  <si>
    <t>($)</t>
  </si>
  <si>
    <r>
      <t>¹</t>
    </r>
    <r>
      <rPr>
        <sz val="10"/>
        <rFont val="Arial"/>
      </rPr>
      <t>It was assumed that 80% of the total yield was marketable fruit.</t>
    </r>
  </si>
  <si>
    <t>included in the equipment purchases in the 3rd year.</t>
  </si>
  <si>
    <t>Net Present Value</t>
  </si>
  <si>
    <t>ESTIMATED BLACKBERRY PRODUCTION COSTS PER ACRE : YEAR 2 - FIRST HARVEST</t>
  </si>
  <si>
    <t xml:space="preserve">Wholesale </t>
  </si>
  <si>
    <t>6 oz - clam shells with labels</t>
  </si>
  <si>
    <t>Sorting room³</t>
  </si>
  <si>
    <t>TOTAL ANNUAL COSTS - 2nd YEAR</t>
  </si>
  <si>
    <t>MONTHLY LABOR ESTIMATES FOR BLACKBERRY PRODUCTION</t>
  </si>
  <si>
    <t>Annual Grower Meeting</t>
  </si>
  <si>
    <t>Monthly Internet Rental</t>
  </si>
  <si>
    <t>each</t>
  </si>
  <si>
    <t>Remove Plastic</t>
  </si>
  <si>
    <t>Hand (4 workers @ 8 hours/A)</t>
  </si>
  <si>
    <t>Total Third thru Tenth Years</t>
  </si>
  <si>
    <t>Total Accumulated Cash Flow</t>
  </si>
  <si>
    <t>² The value of 1/10th of the total cost of an air blast sprayer, a drip irrigation system, a 6" well, a fertilizer injector,</t>
  </si>
  <si>
    <t>a plastic layer/fumigator, and pumping equipment were included in the equipment purchases in the 2nd year.</t>
  </si>
  <si>
    <t>³ The value of 1/10th of the total cost of a cooler/sorting room, a new cooling unit, and a used refrigerated truck were</t>
  </si>
  <si>
    <t>Liquid Lime Sulfur</t>
  </si>
  <si>
    <t>Bird Deterrent Management</t>
  </si>
  <si>
    <t>Sorting/Storage Room Costs</t>
  </si>
  <si>
    <t>Refrigerated Truck</t>
  </si>
  <si>
    <t>Assumed 4 trips per wk @ 100 miles per trip</t>
  </si>
  <si>
    <t>Order Pruning Equipment</t>
  </si>
  <si>
    <t>Transport fruit from field²</t>
  </si>
  <si>
    <t>Third Year through Tenth Year</t>
  </si>
  <si>
    <t>May, cont.</t>
  </si>
  <si>
    <t>July, cont.</t>
  </si>
  <si>
    <t xml:space="preserve"> Drip Irrig System &amp; Fertilizer Injector</t>
  </si>
  <si>
    <t>Drip Irrig. System &amp; Fertilizer Injector</t>
  </si>
  <si>
    <t>Drip Irrigation System &amp; Fertilizer Injector</t>
  </si>
  <si>
    <t>Hand Labor &amp; Irrigation System</t>
  </si>
  <si>
    <t>Irrigate (30 hours)</t>
  </si>
  <si>
    <t>Irrigate (24 hours)</t>
  </si>
  <si>
    <t>ATM Driver Wage Rate</t>
  </si>
  <si>
    <t>Training Ties</t>
  </si>
  <si>
    <t>acre</t>
  </si>
  <si>
    <t xml:space="preserve">    Training Supplies</t>
  </si>
  <si>
    <t>Training Materials  Year 1 (Plastic Ties)</t>
  </si>
  <si>
    <t>Training Materials  Year 2 (Plastic Ties)</t>
  </si>
  <si>
    <t xml:space="preserve">   Training Supplies</t>
  </si>
  <si>
    <t>Administrative Costs cont.</t>
  </si>
  <si>
    <t xml:space="preserve">Irrigate &amp; apply fertilizer </t>
  </si>
  <si>
    <t>Training &amp; pruning</t>
  </si>
  <si>
    <t xml:space="preserve">  hours</t>
  </si>
  <si>
    <t>Estimated Yields</t>
  </si>
  <si>
    <t>Marketable Yield</t>
  </si>
  <si>
    <t>Cullage</t>
  </si>
  <si>
    <t>(percent)</t>
  </si>
  <si>
    <t>Marketable</t>
  </si>
  <si>
    <t>(pounds)</t>
  </si>
  <si>
    <t>Base Yield</t>
  </si>
  <si>
    <t>flats</t>
  </si>
  <si>
    <t>Mkt Yield</t>
  </si>
  <si>
    <t xml:space="preserve">BASE </t>
  </si>
  <si>
    <t>check</t>
  </si>
  <si>
    <t>Harvest</t>
  </si>
  <si>
    <t>$/8 oz - Clam Shell</t>
  </si>
  <si>
    <t>Gross Returns for Varying Marketable Yields</t>
  </si>
  <si>
    <t>8 oz - Clam Shell  ($0.115 each)</t>
  </si>
  <si>
    <t xml:space="preserve"> Production </t>
  </si>
  <si>
    <t>flats 12 - 8 oz cups)</t>
  </si>
  <si>
    <t>pounds,  or</t>
  </si>
  <si>
    <t xml:space="preserve">   (Marketable Yield =</t>
  </si>
  <si>
    <t>Year 3+</t>
  </si>
  <si>
    <t xml:space="preserve"> Production</t>
  </si>
  <si>
    <t>Flats/A</t>
  </si>
  <si>
    <t xml:space="preserve">Second Year: Harvest </t>
  </si>
  <si>
    <t>Third Through Tenth Year: Harvest</t>
  </si>
  <si>
    <t xml:space="preserve"> ¹It was assumed that </t>
  </si>
  <si>
    <t>of the total yield was marketable fruit.</t>
  </si>
  <si>
    <t>Cleanup Culls (20 hrs)</t>
  </si>
  <si>
    <t>Cleanup Culls (20 hrs.)</t>
  </si>
  <si>
    <t>Removing soft berries (20 hrs)</t>
  </si>
  <si>
    <t>Dec, cont.</t>
  </si>
  <si>
    <t>Payback Period</t>
  </si>
  <si>
    <t>Marketable Blackberries</t>
  </si>
  <si>
    <t>Pounds</t>
  </si>
  <si>
    <t>8-oz cups</t>
  </si>
  <si>
    <t>$/Pound</t>
  </si>
  <si>
    <t>Culled Blackberries</t>
  </si>
  <si>
    <t>Marketing Assumptions:</t>
  </si>
  <si>
    <t>Harvest Labor Cost</t>
  </si>
  <si>
    <t xml:space="preserve">Production Labor </t>
  </si>
  <si>
    <t>Selected Input prices:</t>
  </si>
  <si>
    <t>Percent of Base Yield</t>
  </si>
  <si>
    <t>6 oz clamshells</t>
  </si>
  <si>
    <t>$/6 0z -Clam Shell</t>
  </si>
  <si>
    <t>Capital Recovery</t>
  </si>
  <si>
    <t>Fixed   Cost/Hr</t>
  </si>
  <si>
    <t>Variable Cost/Hr</t>
  </si>
  <si>
    <t>Annual Depreciation</t>
  </si>
  <si>
    <t>Annual Fuel &amp; Lubricant Costs</t>
  </si>
  <si>
    <t>Repair &amp; Maintenance Cost</t>
  </si>
  <si>
    <t>Estimated Annual Total Cost/Yr</t>
  </si>
  <si>
    <t xml:space="preserve">Total   Cost/Hr </t>
  </si>
  <si>
    <t>Vehicle Description</t>
  </si>
  <si>
    <t>Estimated Fuel Price        ($/gal)</t>
  </si>
  <si>
    <t>Estimated Fuel Used per Hour (gals)</t>
  </si>
  <si>
    <t>Lubricants as a Percent of Fuel Cost</t>
  </si>
  <si>
    <t>Estimated Average Speed</t>
  </si>
  <si>
    <t>Estimated Fuel Cost/Hour</t>
  </si>
  <si>
    <t>Estimated Lubricant Cost/Hour</t>
  </si>
  <si>
    <t>Total Estimated Fuel &amp; Lube Cost/Hour</t>
  </si>
  <si>
    <t>Estimated Electricity Cost ($/hour)</t>
  </si>
  <si>
    <t>Food Safety</t>
  </si>
  <si>
    <t>Field Sanitation Units 2 months (Toilet &amp; Handwashing Facility)</t>
  </si>
  <si>
    <t>Farm</t>
  </si>
  <si>
    <t xml:space="preserve">     - Rental plus service and re-stocking costs</t>
  </si>
  <si>
    <t>Third Party Audit/GAP Certification</t>
  </si>
  <si>
    <t>Total Food Safety</t>
  </si>
  <si>
    <t>Food Safety Costs</t>
  </si>
  <si>
    <t>Food Safey Costs</t>
  </si>
  <si>
    <t>Annual Administrative &amp; Seasonal Costs</t>
  </si>
  <si>
    <t>8 oz - clamshells with labels</t>
  </si>
  <si>
    <t>(8 oz cups)</t>
  </si>
  <si>
    <r>
      <t xml:space="preserve">$ per </t>
    </r>
    <r>
      <rPr>
        <sz val="10"/>
        <rFont val="Arial"/>
      </rPr>
      <t>Clam Shell</t>
    </r>
  </si>
  <si>
    <t>8 oz - clam shells with labels</t>
  </si>
  <si>
    <t>Flats (12 - 8 oz clam shells/flat)</t>
  </si>
  <si>
    <t>Flats (12 - 8-oz clam shells/flat)</t>
  </si>
  <si>
    <t>5 Years</t>
  </si>
  <si>
    <t>Ten Acres; 1--year Production Cycle</t>
  </si>
  <si>
    <t>Cooling Room*</t>
  </si>
  <si>
    <t>*Estimated Annual Cooling Room Utilization = 5 months/year (May - Sept) = 153 days/year X 24 hours/day = 3672 hours/year</t>
  </si>
  <si>
    <t>Years 3 through 10</t>
  </si>
  <si>
    <r>
      <t>¹</t>
    </r>
    <r>
      <rPr>
        <sz val="10"/>
        <rFont val="Arial"/>
      </rPr>
      <t>These estimates do not include picking labor. It was assumed that the grower would secure</t>
    </r>
  </si>
  <si>
    <t xml:space="preserve">   services of a custom picking crew.</t>
  </si>
  <si>
    <t xml:space="preserve">¹Picking Labor = </t>
  </si>
  <si>
    <t xml:space="preserve"> per flat</t>
  </si>
  <si>
    <t>¹Field Supervisor =</t>
  </si>
  <si>
    <t xml:space="preserve">²Transporting fruit from field =  </t>
  </si>
  <si>
    <t xml:space="preserve"> per hour</t>
  </si>
  <si>
    <t xml:space="preserve">³Sorting room = </t>
  </si>
  <si>
    <t>(Assumed 1 person @ 5.5 hrs per day, 6 days per week )</t>
  </si>
  <si>
    <t xml:space="preserve">Estimated Costs of Owning and Operating the Machinery and Equipment Required for the Production of Blackberries in the Southeastern U.S. </t>
  </si>
  <si>
    <t>Charles D. Safley</t>
  </si>
  <si>
    <t xml:space="preserve">Professor, Department of Agricultural and Resource Economics, North Carolina State </t>
  </si>
  <si>
    <t>University, Raleigh, NC 27695-8109</t>
  </si>
  <si>
    <t>Gina E. Fernandez</t>
  </si>
  <si>
    <t xml:space="preserve">Associate Professor, Department of Horticultural Science, North Carolina State </t>
  </si>
  <si>
    <t>University, Raleigh NC 27695-7609</t>
  </si>
  <si>
    <t>This budget is only a guide and is not meant to be a substitute for growers calculating their own costs and estimating their own breakeven yields. Costs vary from grower to grower due to market conditions, labor supply, age and condition of the machinery and equipment, managerial skill, and many other factors. Since every situation is different, it is recommended that every grower estimate their individual production, harvesting and marketing costs based on their own production techniques, price expectations, local supply of labor, and market situation.</t>
  </si>
  <si>
    <t>It is also recommended that growers develop a marketing plan and have a marketing strategy before investing in a commercial operation. Production of high value produce is a risky business and the risk increases without a stable marketing outlet. In extreme cases, growers have experienced financial losses when they were not able to find a suitable market outlet and/or when they did not meet the buyer’s expectations.</t>
  </si>
  <si>
    <t>Budget Contents:</t>
  </si>
  <si>
    <t>Key Assumptions</t>
  </si>
  <si>
    <t>Annual and monthly costs by operation for:</t>
  </si>
  <si>
    <t>Preparation Year</t>
  </si>
  <si>
    <t>Year 1: Planting Year</t>
  </si>
  <si>
    <t>Year 2: First Harvest</t>
  </si>
  <si>
    <t>Year 3 through Year 10</t>
  </si>
  <si>
    <t>Summary of the Monthly Costs</t>
  </si>
  <si>
    <t>Summary of the Monthly Labor Requirements</t>
  </si>
  <si>
    <t>Estimated Costs and Returns for Varying Yields and Wholesale Prices</t>
  </si>
  <si>
    <t>Investment Analysis</t>
  </si>
  <si>
    <t xml:space="preserve"> Cost of Producing, Harvesting and Marketing Blackberries  </t>
  </si>
  <si>
    <t>in the Southeastern United States</t>
  </si>
  <si>
    <t xml:space="preserve">This budget presents the estimated costs of producing and harvesting blackberries in the Southeastern United States along with an analysis of the effects of varying yields and wholesale prices that can be useful for farmers considering starting a commercial operation or expanding an existing operation. While the budget was developed for a representative 10 acre planting with drip irrigation, the cost estimates are presented on a per acre basis. It was also  assumed that the management would be near optimal and that all currently recommended practices by the Agricultural Extension Service would be followed.  </t>
  </si>
  <si>
    <t>The spray schedule in this budget is based on a typical year, however, as any grower knows, each year is different and therefore your pests and means of control will likely vary from what is listed. See the NC Ag Chemical or the spray schedule at www.smallfruits.org &lt;http://www.smallfruits.org&gt; for a more complete listing of pest control products for blackberries. Mention of a product or vendor does not constitute a guarantee or warranty of the product, nor does it imply recommendation of one product over another. Other products may be suitable depending on soils, weather conditions, farm history, and pest pressures.</t>
  </si>
  <si>
    <t>Budgeting Program Developed By:</t>
  </si>
  <si>
    <t xml:space="preserve">Research Assistant, Department of Agricultural and Resource Economics, North Carolina State </t>
  </si>
  <si>
    <t>Key Assumptions for Estimating the Cost of Producing, Harvesting, and Marketing Blackberries</t>
  </si>
  <si>
    <t>This Budget was Updated on:</t>
  </si>
  <si>
    <t>by</t>
  </si>
  <si>
    <t>Post Harvest Handling</t>
  </si>
  <si>
    <t>Refrigeration Unit (G)</t>
  </si>
  <si>
    <t>1/2 Ton Pickup (G)</t>
  </si>
  <si>
    <t xml:space="preserve"> $/hour</t>
  </si>
  <si>
    <t xml:space="preserve"> $/flat</t>
  </si>
  <si>
    <t>Owner Expense</t>
  </si>
  <si>
    <t xml:space="preserve">   Base Wage</t>
  </si>
  <si>
    <t xml:space="preserve">   Total Business Expense </t>
  </si>
  <si>
    <t>Employee Expense</t>
  </si>
  <si>
    <t xml:space="preserve">Picking Labor </t>
  </si>
  <si>
    <t xml:space="preserve">Field Supervisor </t>
  </si>
  <si>
    <t xml:space="preserve">Sorting Room Labor </t>
  </si>
  <si>
    <t xml:space="preserve">Transporting Berries from Field </t>
  </si>
  <si>
    <t xml:space="preserve"> each</t>
  </si>
  <si>
    <t xml:space="preserve">8-oz Clamshells </t>
  </si>
  <si>
    <t xml:space="preserve">Projected Base Yields </t>
  </si>
  <si>
    <t xml:space="preserve"> pounds/acre</t>
  </si>
  <si>
    <t xml:space="preserve">Equipment, Materials, Labor, Irrigation or Production Cost worksheets. </t>
  </si>
  <si>
    <t>The values in the blue cells are input values that users can either accept or replace with their own estimates.</t>
  </si>
  <si>
    <t xml:space="preserve">on this worksheet, while  those who would like more detailed estimates can fill in the blue cells in the </t>
  </si>
  <si>
    <t xml:space="preserve">estimate of their costs and returns by entering their own estimates for the selected "key" values displayed </t>
  </si>
  <si>
    <t>Fuel and Lubricant Costs</t>
  </si>
  <si>
    <t>Estimated Average Mileage per Gallon</t>
  </si>
  <si>
    <t>Refrigerated Truck (G)</t>
  </si>
  <si>
    <t xml:space="preserve">The values in the protected cells are calculated based on the inputted values.  Users can receive a quick </t>
  </si>
  <si>
    <t>Machinery and Vehicle by Fuel Type</t>
  </si>
  <si>
    <t>( --------------- Dollars per Acre -----------------)</t>
  </si>
  <si>
    <t>( ------------------ Dollars per Acre --------------------)</t>
  </si>
  <si>
    <t>(Person Hours per Acre)</t>
  </si>
  <si>
    <t>Estimated Returns per Acre for Commercial Blackberry Production</t>
  </si>
  <si>
    <t xml:space="preserve">Estimated Costs, Gross Revenues and Net Returns per Acre for Commercial Balckberry </t>
  </si>
  <si>
    <t>Net Returns</t>
  </si>
  <si>
    <t xml:space="preserve">for Varying Yields and Wholesale Prices per Flat </t>
  </si>
  <si>
    <t>for Varying Yields and Wholesale Prices per Pound</t>
  </si>
  <si>
    <t>Production for Varying Yields and Wholesale Prices per Flat</t>
  </si>
  <si>
    <t>Production for Varying Yields and Wholesale Prices per Pound</t>
  </si>
  <si>
    <t xml:space="preserve">Estimated Yields and Market Prices for Blackberries </t>
  </si>
  <si>
    <t>Blackberry Base Production Sequence. YEARS 3 Through 10: FULL HARVEST</t>
  </si>
  <si>
    <t>Blackberry Base Production Sequence. YEAR 2: FIRST HARVEST</t>
  </si>
  <si>
    <t>Monthly Cost Estimates for Blackberry Production, Harvest and Markeeting</t>
  </si>
  <si>
    <t>Estimated Costs for a Ten Acre Commercial Operation</t>
  </si>
  <si>
    <t>Derek Ihnen</t>
  </si>
  <si>
    <t>Owner - Blackberry Operation</t>
  </si>
  <si>
    <t>J Doe - Blackberry Employee</t>
  </si>
  <si>
    <t xml:space="preserve">J Doe </t>
  </si>
  <si>
    <t>bb</t>
  </si>
  <si>
    <t>per  $100</t>
  </si>
  <si>
    <t>Estimated Costs of Owning and Operating the Machinery and Equipment</t>
  </si>
  <si>
    <t xml:space="preserve">Needed to Construct Bramble Trellis Systems </t>
  </si>
  <si>
    <r>
      <t>Annual Operating Hours</t>
    </r>
    <r>
      <rPr>
        <sz val="10"/>
        <rFont val="Calibri"/>
        <family val="2"/>
      </rPr>
      <t>¹</t>
    </r>
  </si>
  <si>
    <t>1/2 Ton Pickup Truck</t>
  </si>
  <si>
    <t>1/2 Ton</t>
  </si>
  <si>
    <t>Generator, Portable</t>
  </si>
  <si>
    <t>3250 watt</t>
  </si>
  <si>
    <t>Post Driver + 3 pt mount bracket</t>
  </si>
  <si>
    <r>
      <rPr>
        <sz val="10"/>
        <color indexed="8"/>
        <rFont val="Calibri"/>
        <family val="2"/>
      </rPr>
      <t xml:space="preserve">¹Pickup Truck: Enter </t>
    </r>
    <r>
      <rPr>
        <sz val="10"/>
        <color indexed="8"/>
        <rFont val="Arial"/>
        <family val="2"/>
      </rPr>
      <t>Annual Miles Driven</t>
    </r>
  </si>
  <si>
    <t>Total Annual Ownership Cost</t>
  </si>
  <si>
    <t>Pickup Truck</t>
  </si>
  <si>
    <t>Annual Repair</t>
  </si>
  <si>
    <t>Annual Fuel &amp; Lubricants Costs</t>
  </si>
  <si>
    <t>Total Annual Cost</t>
  </si>
  <si>
    <r>
      <t>Cost/Hour of Use</t>
    </r>
    <r>
      <rPr>
        <b/>
        <sz val="10"/>
        <rFont val="Calibri"/>
        <family val="2"/>
      </rPr>
      <t>²</t>
    </r>
  </si>
  <si>
    <r>
      <rPr>
        <sz val="10"/>
        <color indexed="8"/>
        <rFont val="Calibri"/>
        <family val="2"/>
      </rPr>
      <t xml:space="preserve">²Cost per Mile Driven </t>
    </r>
    <r>
      <rPr>
        <sz val="10"/>
        <color indexed="8"/>
        <rFont val="Arial"/>
        <family val="2"/>
      </rPr>
      <t>for the Pickup Truck</t>
    </r>
  </si>
  <si>
    <t xml:space="preserve">Fuel Costs and Fuel &amp; Lubricant Consumption </t>
  </si>
  <si>
    <t>Gals Used</t>
  </si>
  <si>
    <t>Percent</t>
  </si>
  <si>
    <t>Fuel Cost</t>
  </si>
  <si>
    <t>Per Hour</t>
  </si>
  <si>
    <t>Lubricants</t>
  </si>
  <si>
    <t>1/2 Ton Pickup Truck (Miles per Gal)</t>
  </si>
  <si>
    <t>Interest, Insurance and Tax Rates</t>
  </si>
  <si>
    <r>
      <t>Loan Interest Rate</t>
    </r>
    <r>
      <rPr>
        <sz val="10"/>
        <color indexed="8"/>
        <rFont val="Calibri"/>
        <family val="2"/>
      </rPr>
      <t>³</t>
    </r>
  </si>
  <si>
    <t>³Prime Interest Rate + 2%</t>
  </si>
  <si>
    <t>Estimated Cost of the Materials Needed for Bramble Trellises</t>
  </si>
  <si>
    <t>(Cost per Acre)</t>
  </si>
  <si>
    <t>V-Trellis with Metal Posts</t>
  </si>
  <si>
    <t>Wire, #9 gage, galvanized; 16,000 feet/A</t>
  </si>
  <si>
    <t>coil</t>
  </si>
  <si>
    <t>Wire, in-line strainers: 160 feet</t>
  </si>
  <si>
    <t>Hurricane Anchors</t>
  </si>
  <si>
    <t>Total  Cost: V-Trellis (with metal T-posts)</t>
  </si>
  <si>
    <t>T-Trellis with Wood Posts</t>
  </si>
  <si>
    <t>8' Wood posts</t>
  </si>
  <si>
    <r>
      <t>2"x4"x10' boards  for 3' Wood cross arms (20/row)</t>
    </r>
    <r>
      <rPr>
        <sz val="9"/>
        <color indexed="8"/>
        <rFont val="Calibri"/>
        <family val="2"/>
      </rPr>
      <t>¹</t>
    </r>
    <r>
      <rPr>
        <sz val="9"/>
        <color indexed="8"/>
        <rFont val="Arial"/>
        <family val="2"/>
      </rPr>
      <t xml:space="preserve"> </t>
    </r>
  </si>
  <si>
    <r>
      <t xml:space="preserve">                                     2' Wood cross arms (20/row)</t>
    </r>
    <r>
      <rPr>
        <sz val="9"/>
        <color indexed="8"/>
        <rFont val="Calibri"/>
        <family val="2"/>
      </rPr>
      <t>¹</t>
    </r>
  </si>
  <si>
    <t>Total Cost:  V-Trellis (with wood T-posts)</t>
  </si>
  <si>
    <t>¹Planned to cut 2-3' cross arms and 2-2' cross arms from every 2"x4"x10' board</t>
  </si>
  <si>
    <t>T-Bar Trellis (Prefabricated Rebar)</t>
  </si>
  <si>
    <t>Rebar Posts</t>
  </si>
  <si>
    <t xml:space="preserve">Poly Twine , 130 lbs. tensile strength, 9000 feet/A </t>
  </si>
  <si>
    <t>roll</t>
  </si>
  <si>
    <t>Total Cost:  T-Bar Trellis</t>
  </si>
  <si>
    <t>Shift Trellis</t>
  </si>
  <si>
    <t>Tie-back post; wooden, round, 6" x 8', CCA pressure-treated</t>
  </si>
  <si>
    <t>Vertical post; wooden, round, 4" x 8', CCA pressure-treated</t>
  </si>
  <si>
    <t>Crossarms; wooden, round, 3" x 7.5', CCA pressure treated</t>
  </si>
  <si>
    <t>Bolt, 1/2" x 9" (or 10") shaft, 3" threaded length, zinc-coated</t>
  </si>
  <si>
    <t>Eyebolt, 1/2" x 7" shaft, 3" thread length; zinc-coated</t>
  </si>
  <si>
    <t>Eyebolt, 1/2" x 4" shaft, 3" thread length, zinc-coated</t>
  </si>
  <si>
    <t>Nut, 1/2" diameter, zinc-coated</t>
  </si>
  <si>
    <t>Flat-washer, 1/2" diameter, zinc-coated</t>
  </si>
  <si>
    <t>Lag bolt, 3 1/2" x 1/2", 2 1/2" thread length, zinc-coated</t>
  </si>
  <si>
    <t>Screw eye, size 0, zinc coated</t>
  </si>
  <si>
    <t>Aircraft cable, 1/8"diameter, 7x19 style, galvanized or stainless steel</t>
  </si>
  <si>
    <t>ft</t>
  </si>
  <si>
    <t>Nicopress crimping sleeve for 1/8" aircraft cable (or cable clamps)</t>
  </si>
  <si>
    <t>Fence-wire crimping sleeve (Nicopress, No. FW-2-3)</t>
  </si>
  <si>
    <t>Wire, 12.5 ga. high-tensile, galvanized, 18,000 ft/A</t>
  </si>
  <si>
    <t>Brace pin 9" x 3/8", zinc-coated</t>
  </si>
  <si>
    <t>Total Cost: Shift Trellis</t>
  </si>
  <si>
    <t>Estimated Total Costs per Acre for Four Types of Bramble Trellises</t>
  </si>
  <si>
    <t>V Trellis with Wood Posts</t>
  </si>
  <si>
    <t>Equ.</t>
  </si>
  <si>
    <t xml:space="preserve">Material </t>
  </si>
  <si>
    <t xml:space="preserve">Costs </t>
  </si>
  <si>
    <t>Year 3</t>
  </si>
  <si>
    <t>Total Cost</t>
  </si>
  <si>
    <t>Shift Trellis Cost Summary</t>
  </si>
  <si>
    <t>Equipment Used</t>
  </si>
  <si>
    <t>Materials Used</t>
  </si>
  <si>
    <t>Labor Used</t>
  </si>
  <si>
    <t>Operation/Task</t>
  </si>
  <si>
    <r>
      <t>Order Trellis Supplies</t>
    </r>
    <r>
      <rPr>
        <sz val="10"/>
        <rFont val="Calibri"/>
        <family val="2"/>
      </rPr>
      <t>¹</t>
    </r>
  </si>
  <si>
    <t>1 A</t>
  </si>
  <si>
    <t>Mark Post Locations</t>
  </si>
  <si>
    <t>Drive Posts (Hand Post Driver)</t>
  </si>
  <si>
    <r>
      <t xml:space="preserve">Strech Wire </t>
    </r>
    <r>
      <rPr>
        <sz val="9"/>
        <rFont val="Arial"/>
        <family val="2"/>
      </rPr>
      <t>(Hand &amp; Misc Tools)</t>
    </r>
  </si>
  <si>
    <t>Pickup Truck (Miles Driven)</t>
  </si>
  <si>
    <t>TOTAL Year 1</t>
  </si>
  <si>
    <t>TOTAL Year 2</t>
  </si>
  <si>
    <t>TOTAL Year 3</t>
  </si>
  <si>
    <t>TOTAL SUMMARY</t>
  </si>
  <si>
    <t xml:space="preserve"> Operation/Task</t>
  </si>
  <si>
    <t>Cut Cross Arms (400)</t>
  </si>
  <si>
    <r>
      <t>Drive Posts</t>
    </r>
    <r>
      <rPr>
        <sz val="10"/>
        <rFont val="Calibri"/>
        <family val="2"/>
      </rPr>
      <t>²</t>
    </r>
  </si>
  <si>
    <t>60 hp Tractor + Post Driver</t>
  </si>
  <si>
    <t>Construct Cross Arms</t>
  </si>
  <si>
    <r>
      <t xml:space="preserve">     Generator, Portable</t>
    </r>
    <r>
      <rPr>
        <sz val="10"/>
        <rFont val="Calibri"/>
        <family val="2"/>
      </rPr>
      <t>³</t>
    </r>
  </si>
  <si>
    <t>Drive Posts (Hand)</t>
  </si>
  <si>
    <r>
      <t xml:space="preserve">Strech Twine </t>
    </r>
    <r>
      <rPr>
        <sz val="9"/>
        <rFont val="Arial"/>
        <family val="2"/>
      </rPr>
      <t>(Hand &amp; Misc Tools)</t>
    </r>
  </si>
  <si>
    <r>
      <t xml:space="preserve">Build Trellis </t>
    </r>
    <r>
      <rPr>
        <sz val="9"/>
        <rFont val="Arial"/>
        <family val="2"/>
      </rPr>
      <t>(Hand + Misc. Tools)</t>
    </r>
  </si>
  <si>
    <r>
      <t xml:space="preserve">     Generator, Portable</t>
    </r>
    <r>
      <rPr>
        <sz val="10"/>
        <rFont val="Calibri"/>
        <family val="2"/>
      </rPr>
      <t>⁴</t>
    </r>
  </si>
  <si>
    <t>Position trellis 20 degrees from horizontal (acute angle)</t>
  </si>
  <si>
    <r>
      <rPr>
        <sz val="10"/>
        <rFont val="Calibri"/>
        <family val="2"/>
      </rPr>
      <t xml:space="preserve">¹ </t>
    </r>
    <r>
      <rPr>
        <sz val="10"/>
        <rFont val="Arial"/>
      </rPr>
      <t>See Materials for detailed description of trellis items and cost/item</t>
    </r>
  </si>
  <si>
    <r>
      <rPr>
        <sz val="10"/>
        <rFont val="Calibri"/>
        <family val="2"/>
      </rPr>
      <t>²</t>
    </r>
    <r>
      <rPr>
        <sz val="10"/>
        <rFont val="Arial"/>
      </rPr>
      <t xml:space="preserve"> Three person crew at five minutes per post.</t>
    </r>
  </si>
  <si>
    <t>³ Two person crew and five minutes per post.</t>
  </si>
  <si>
    <r>
      <rPr>
        <sz val="10"/>
        <color indexed="8"/>
        <rFont val="Calibri"/>
        <family val="2"/>
      </rPr>
      <t>⁴</t>
    </r>
    <r>
      <rPr>
        <sz val="10"/>
        <color indexed="8"/>
        <rFont val="Arial"/>
        <family val="2"/>
      </rPr>
      <t xml:space="preserve"> Two person crew and 3 minutes per post.</t>
    </r>
  </si>
  <si>
    <t>Certification Application Fee</t>
  </si>
  <si>
    <t>Water Tests</t>
  </si>
  <si>
    <t>Residue Tests</t>
  </si>
  <si>
    <t>Employee Training (2 Hour Training)</t>
  </si>
  <si>
    <t>Soil Test</t>
  </si>
  <si>
    <t>Foliar Test (twice yearly)</t>
  </si>
  <si>
    <t>Jonathan R. Baros</t>
  </si>
  <si>
    <t>Trellis Configuration (place a 1 for your configuration)</t>
  </si>
  <si>
    <t>Installing trellis supplies</t>
  </si>
  <si>
    <t xml:space="preserve">Post Harvest </t>
  </si>
  <si>
    <t xml:space="preserve">    Pruning &amp; Care</t>
  </si>
  <si>
    <t>Other Test As Needed</t>
  </si>
  <si>
    <t>Extension Associate, NC MarketReady; Department of Agricultural and Resource Economics,</t>
  </si>
  <si>
    <t>Jonathan Baros</t>
  </si>
  <si>
    <t>North Carolina State University, Kannapolis, NC 28081</t>
  </si>
  <si>
    <r>
      <t>Field Supervisor</t>
    </r>
    <r>
      <rPr>
        <sz val="10"/>
        <rFont val="Arial"/>
      </rPr>
      <t>¹</t>
    </r>
  </si>
  <si>
    <r>
      <t>Sorting room</t>
    </r>
    <r>
      <rPr>
        <sz val="10"/>
        <rFont val="Arial"/>
      </rPr>
      <t>³</t>
    </r>
  </si>
  <si>
    <r>
      <t>Cooler/Cooling Unit Costs</t>
    </r>
    <r>
      <rPr>
        <sz val="10"/>
        <rFont val="Teletype"/>
      </rPr>
      <t>≤</t>
    </r>
  </si>
  <si>
    <r>
      <t>Cooler/Coooling Unit (used)</t>
    </r>
    <r>
      <rPr>
        <sz val="10"/>
        <color indexed="48"/>
        <rFont val="Arial"/>
      </rPr>
      <t>*</t>
    </r>
  </si>
  <si>
    <r>
      <t>Truck</t>
    </r>
    <r>
      <rPr>
        <sz val="10"/>
        <color indexed="12"/>
        <rFont val="Arial"/>
        <family val="2"/>
      </rPr>
      <t xml:space="preserve"> </t>
    </r>
    <r>
      <rPr>
        <sz val="10"/>
        <rFont val="Arial"/>
      </rPr>
      <t>Refrigeration Unit</t>
    </r>
  </si>
</sst>
</file>

<file path=xl/styles.xml><?xml version="1.0" encoding="utf-8"?>
<styleSheet xmlns="http://schemas.openxmlformats.org/spreadsheetml/2006/main">
  <numFmts count="30">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quot;$&quot;#,##0.00"/>
    <numFmt numFmtId="165" formatCode="&quot;$&quot;#,##0.000"/>
    <numFmt numFmtId="166" formatCode="0.000"/>
    <numFmt numFmtId="167" formatCode="[$$-409]#,##0.00"/>
    <numFmt numFmtId="169" formatCode="#,##0.000"/>
    <numFmt numFmtId="171" formatCode="&quot;$&quot;#,##0.000_);\(&quot;$&quot;#,##0.000\)"/>
    <numFmt numFmtId="172" formatCode="&quot;$&quot;#,##0.000;[Red]&quot;$&quot;#,##0.000"/>
    <numFmt numFmtId="173" formatCode="#,##0.000;[Red]#,##0.000"/>
    <numFmt numFmtId="174" formatCode="&quot;$&quot;#,##0.00;[Red]&quot;$&quot;#,##0.00"/>
    <numFmt numFmtId="179" formatCode="&quot;$&quot;#,##0.000_);[Red]\(&quot;$&quot;#,##0.000\)"/>
    <numFmt numFmtId="180" formatCode="&quot;$&quot;#,##0"/>
    <numFmt numFmtId="181" formatCode="_(* #,##0_);_(* \(#,##0\);_(* &quot;-&quot;??_);_(@_)"/>
    <numFmt numFmtId="183" formatCode="_(* #,##0.000_);_(* \(#,##0.000\);_(* &quot;-&quot;???_);_(@_)"/>
    <numFmt numFmtId="185" formatCode="0.0000"/>
    <numFmt numFmtId="186" formatCode="&quot;$&quot;#,##0.0000"/>
    <numFmt numFmtId="188" formatCode="0.0"/>
    <numFmt numFmtId="189" formatCode="_(* #,##0.0_);_(* \(#,##0.0\);_(* &quot;-&quot;?_);_(@_)"/>
    <numFmt numFmtId="191" formatCode="0.0%"/>
    <numFmt numFmtId="192" formatCode="#,##0.0"/>
    <numFmt numFmtId="194" formatCode="&quot;$&quot;#,##0.00000"/>
    <numFmt numFmtId="195" formatCode="#,##0.0000"/>
    <numFmt numFmtId="196" formatCode="#,##0.000_);\(#,##0.000\)"/>
    <numFmt numFmtId="202" formatCode="#,##0.0000_);[Red]\(#,##0.0000\)"/>
    <numFmt numFmtId="205" formatCode="#,##0.00;[Red]#,##0.00"/>
  </numFmts>
  <fonts count="47">
    <font>
      <sz val="10"/>
      <name val="Arial"/>
    </font>
    <font>
      <sz val="10"/>
      <name val="Arial"/>
    </font>
    <font>
      <sz val="6"/>
      <name val="Arial"/>
      <family val="2"/>
    </font>
    <font>
      <b/>
      <sz val="8"/>
      <name val="Arial"/>
      <family val="2"/>
    </font>
    <font>
      <sz val="10"/>
      <name val="Arial"/>
    </font>
    <font>
      <b/>
      <sz val="10"/>
      <name val="Arial"/>
      <family val="2"/>
    </font>
    <font>
      <sz val="8"/>
      <name val="Arial"/>
    </font>
    <font>
      <sz val="9"/>
      <name val="Arial"/>
      <family val="2"/>
    </font>
    <font>
      <sz val="10"/>
      <color indexed="12"/>
      <name val="Arial"/>
      <family val="2"/>
    </font>
    <font>
      <sz val="10"/>
      <name val="Times New Roman"/>
      <family val="1"/>
    </font>
    <font>
      <b/>
      <sz val="12"/>
      <name val="Arial"/>
      <family val="2"/>
    </font>
    <font>
      <sz val="12"/>
      <name val="Arial"/>
      <family val="2"/>
    </font>
    <font>
      <b/>
      <sz val="9"/>
      <name val="Arial"/>
      <family val="2"/>
    </font>
    <font>
      <sz val="10"/>
      <color indexed="8"/>
      <name val="Arial"/>
      <family val="2"/>
    </font>
    <font>
      <sz val="12"/>
      <name val="Arial"/>
      <family val="2"/>
    </font>
    <font>
      <b/>
      <sz val="12"/>
      <name val="Arial"/>
      <family val="2"/>
    </font>
    <font>
      <sz val="8"/>
      <name val="Arial"/>
    </font>
    <font>
      <u/>
      <sz val="10"/>
      <name val="Arial"/>
    </font>
    <font>
      <b/>
      <u/>
      <sz val="10"/>
      <name val="Arial"/>
      <family val="2"/>
    </font>
    <font>
      <b/>
      <i/>
      <sz val="10"/>
      <name val="Arial"/>
      <family val="2"/>
    </font>
    <font>
      <sz val="9"/>
      <color indexed="8"/>
      <name val="Arial"/>
      <family val="2"/>
    </font>
    <font>
      <b/>
      <sz val="10"/>
      <color indexed="8"/>
      <name val="Arial"/>
      <family val="2"/>
    </font>
    <font>
      <b/>
      <sz val="11"/>
      <name val="Arial"/>
      <family val="2"/>
    </font>
    <font>
      <sz val="11"/>
      <name val="Arial"/>
      <family val="2"/>
    </font>
    <font>
      <sz val="12"/>
      <name val="Times New Roman"/>
      <family val="1"/>
    </font>
    <font>
      <i/>
      <sz val="10"/>
      <name val="Arial"/>
      <family val="2"/>
    </font>
    <font>
      <sz val="10"/>
      <name val="Calibri"/>
      <family val="2"/>
    </font>
    <font>
      <sz val="10"/>
      <color indexed="8"/>
      <name val="Calibri"/>
      <family val="2"/>
    </font>
    <font>
      <b/>
      <sz val="10"/>
      <name val="Calibri"/>
      <family val="2"/>
    </font>
    <font>
      <b/>
      <sz val="11"/>
      <color indexed="8"/>
      <name val="Arial"/>
    </font>
    <font>
      <sz val="9"/>
      <color indexed="8"/>
      <name val="Calibri"/>
      <family val="2"/>
    </font>
    <font>
      <b/>
      <i/>
      <sz val="10"/>
      <color indexed="20"/>
      <name val="Arial"/>
      <family val="2"/>
    </font>
    <font>
      <sz val="10"/>
      <name val="Teletype"/>
    </font>
    <font>
      <sz val="10"/>
      <color indexed="48"/>
      <name val="Arial"/>
    </font>
    <font>
      <sz val="10"/>
      <color indexed="10"/>
      <name val="Arial"/>
    </font>
    <font>
      <sz val="11"/>
      <color theme="1"/>
      <name val="Calibri"/>
      <family val="2"/>
      <scheme val="minor"/>
    </font>
    <font>
      <b/>
      <sz val="11"/>
      <color theme="1"/>
      <name val="Calibri"/>
      <family val="2"/>
      <scheme val="minor"/>
    </font>
    <font>
      <sz val="10"/>
      <color theme="1"/>
      <name val="Arial"/>
      <family val="2"/>
    </font>
    <font>
      <sz val="11"/>
      <color theme="1"/>
      <name val="Cambria"/>
      <family val="1"/>
      <scheme val="major"/>
    </font>
    <font>
      <sz val="8"/>
      <color theme="1"/>
      <name val="Calibri"/>
      <family val="2"/>
      <scheme val="minor"/>
    </font>
    <font>
      <sz val="11"/>
      <color theme="1"/>
      <name val="Calibri"/>
      <family val="2"/>
    </font>
    <font>
      <sz val="9"/>
      <color theme="1"/>
      <name val="Arial"/>
      <family val="2"/>
    </font>
    <font>
      <b/>
      <sz val="10"/>
      <color theme="1"/>
      <name val="Arial"/>
      <family val="2"/>
    </font>
    <font>
      <sz val="9"/>
      <color theme="1"/>
      <name val="Calibri"/>
      <family val="2"/>
      <scheme val="minor"/>
    </font>
    <font>
      <sz val="10"/>
      <color theme="1"/>
      <name val="Calibri"/>
      <family val="2"/>
      <scheme val="minor"/>
    </font>
    <font>
      <sz val="10"/>
      <name val="Calibri"/>
      <family val="2"/>
      <scheme val="minor"/>
    </font>
    <font>
      <b/>
      <sz val="11"/>
      <color theme="1"/>
      <name val="Arial"/>
      <family val="2"/>
    </font>
  </fonts>
  <fills count="2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55"/>
        <bgColor indexed="64"/>
      </patternFill>
    </fill>
    <fill>
      <patternFill patternType="solid">
        <fgColor indexed="41"/>
        <bgColor indexed="64"/>
      </patternFill>
    </fill>
    <fill>
      <patternFill patternType="solid">
        <fgColor indexed="63"/>
        <bgColor indexed="64"/>
      </patternFill>
    </fill>
    <fill>
      <patternFill patternType="solid">
        <fgColor indexed="23"/>
        <bgColor indexed="64"/>
      </patternFill>
    </fill>
    <fill>
      <patternFill patternType="solid">
        <fgColor theme="4" tint="0.59999389629810485"/>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6969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D8D8D8"/>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
      <patternFill patternType="solid">
        <fgColor rgb="FFDBEEF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C000"/>
        <bgColor indexed="64"/>
      </patternFill>
    </fill>
  </fills>
  <borders count="163">
    <border>
      <left/>
      <right/>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ck">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ck">
        <color indexed="64"/>
      </left>
      <right style="thick">
        <color indexed="64"/>
      </right>
      <top/>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bottom/>
      <diagonal/>
    </border>
    <border>
      <left/>
      <right/>
      <top/>
      <bottom style="thin">
        <color indexed="64"/>
      </bottom>
      <diagonal/>
    </border>
    <border>
      <left/>
      <right/>
      <top style="thick">
        <color indexed="64"/>
      </top>
      <bottom style="thin">
        <color indexed="64"/>
      </bottom>
      <diagonal/>
    </border>
    <border>
      <left/>
      <right/>
      <top/>
      <bottom style="medium">
        <color indexed="64"/>
      </bottom>
      <diagonal/>
    </border>
    <border>
      <left/>
      <right/>
      <top style="medium">
        <color indexed="64"/>
      </top>
      <bottom/>
      <diagonal/>
    </border>
    <border>
      <left/>
      <right style="double">
        <color indexed="64"/>
      </right>
      <top style="thick">
        <color indexed="64"/>
      </top>
      <bottom/>
      <diagonal/>
    </border>
    <border>
      <left/>
      <right/>
      <top style="thick">
        <color indexed="64"/>
      </top>
      <bottom/>
      <diagonal/>
    </border>
    <border>
      <left style="thin">
        <color indexed="64"/>
      </left>
      <right style="medium">
        <color indexed="64"/>
      </right>
      <top style="thick">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ck">
        <color indexed="64"/>
      </top>
      <bottom style="thin">
        <color indexed="64"/>
      </bottom>
      <diagonal/>
    </border>
    <border>
      <left style="medium">
        <color indexed="64"/>
      </left>
      <right/>
      <top/>
      <bottom style="medium">
        <color indexed="64"/>
      </bottom>
      <diagonal/>
    </border>
    <border>
      <left style="medium">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thick">
        <color indexed="64"/>
      </right>
      <top style="thick">
        <color indexed="64"/>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ouble">
        <color indexed="64"/>
      </left>
      <right/>
      <top style="thick">
        <color indexed="64"/>
      </top>
      <bottom style="thin">
        <color indexed="64"/>
      </bottom>
      <diagonal/>
    </border>
    <border>
      <left/>
      <right style="double">
        <color indexed="64"/>
      </right>
      <top style="thick">
        <color indexed="64"/>
      </top>
      <bottom style="thin">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bottom style="thick">
        <color indexed="64"/>
      </bottom>
      <diagonal/>
    </border>
    <border>
      <left style="medium">
        <color indexed="64"/>
      </left>
      <right style="medium">
        <color indexed="64"/>
      </right>
      <top style="thick">
        <color indexed="64"/>
      </top>
      <bottom style="double">
        <color indexed="64"/>
      </bottom>
      <diagonal/>
    </border>
    <border>
      <left style="medium">
        <color indexed="64"/>
      </left>
      <right style="thick">
        <color indexed="64"/>
      </right>
      <top style="thick">
        <color indexed="64"/>
      </top>
      <bottom style="double">
        <color indexed="64"/>
      </bottom>
      <diagonal/>
    </border>
    <border>
      <left style="medium">
        <color indexed="64"/>
      </left>
      <right style="medium">
        <color indexed="64"/>
      </right>
      <top style="medium">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thick">
        <color indexed="64"/>
      </right>
      <top style="double">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thick">
        <color indexed="64"/>
      </top>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top style="double">
        <color indexed="64"/>
      </top>
      <bottom/>
      <diagonal/>
    </border>
    <border>
      <left style="medium">
        <color indexed="64"/>
      </left>
      <right/>
      <top style="thick">
        <color indexed="64"/>
      </top>
      <bottom style="double">
        <color indexed="64"/>
      </bottom>
      <diagonal/>
    </border>
    <border>
      <left style="medium">
        <color indexed="64"/>
      </left>
      <right style="thin">
        <color indexed="64"/>
      </right>
      <top style="double">
        <color indexed="64"/>
      </top>
      <bottom style="thin">
        <color indexed="64"/>
      </bottom>
      <diagonal/>
    </border>
    <border>
      <left/>
      <right style="thick">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diagonal/>
    </border>
    <border>
      <left style="thick">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ck">
        <color indexed="64"/>
      </right>
      <top/>
      <bottom style="medium">
        <color indexed="64"/>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medium">
        <color indexed="64"/>
      </top>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6">
    <xf numFmtId="0" fontId="0" fillId="2" borderId="0"/>
    <xf numFmtId="0" fontId="35" fillId="9" borderId="0" applyNumberFormat="0" applyBorder="0" applyAlignment="0" applyProtection="0"/>
    <xf numFmtId="43" fontId="1"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0" fontId="35" fillId="0" borderId="0"/>
  </cellStyleXfs>
  <cellXfs count="1858">
    <xf numFmtId="0" fontId="0" fillId="2" borderId="0" xfId="0"/>
    <xf numFmtId="0" fontId="2" fillId="0" borderId="0" xfId="0" applyFont="1" applyFill="1" applyBorder="1"/>
    <xf numFmtId="0" fontId="2" fillId="0" borderId="0" xfId="0" applyFont="1" applyFill="1"/>
    <xf numFmtId="0" fontId="5" fillId="0" borderId="0" xfId="0" applyFont="1" applyFill="1"/>
    <xf numFmtId="0" fontId="5" fillId="2" borderId="0" xfId="0" applyFont="1"/>
    <xf numFmtId="0" fontId="0" fillId="2" borderId="0" xfId="0" applyAlignment="1">
      <alignment horizontal="left"/>
    </xf>
    <xf numFmtId="2" fontId="0" fillId="2" borderId="0" xfId="0" applyNumberFormat="1"/>
    <xf numFmtId="43" fontId="0" fillId="0" borderId="0" xfId="2" applyNumberFormat="1" applyFont="1" applyAlignment="1">
      <alignment horizontal="left"/>
    </xf>
    <xf numFmtId="164" fontId="0" fillId="0" borderId="0" xfId="2" applyNumberFormat="1" applyFont="1" applyAlignment="1">
      <alignment horizontal="left"/>
    </xf>
    <xf numFmtId="43" fontId="6" fillId="0" borderId="0" xfId="2" applyNumberFormat="1" applyFont="1" applyBorder="1" applyAlignment="1">
      <alignment horizontal="left"/>
    </xf>
    <xf numFmtId="0" fontId="0" fillId="2" borderId="0" xfId="0" applyAlignment="1">
      <alignment horizontal="center"/>
    </xf>
    <xf numFmtId="0" fontId="4" fillId="2" borderId="0" xfId="0" applyFont="1"/>
    <xf numFmtId="0" fontId="8" fillId="2" borderId="0" xfId="0" applyFont="1"/>
    <xf numFmtId="0" fontId="5" fillId="2" borderId="0" xfId="0" applyFont="1" applyBorder="1"/>
    <xf numFmtId="2" fontId="0" fillId="0" borderId="0" xfId="2" applyNumberFormat="1" applyFont="1" applyAlignment="1">
      <alignment horizontal="left"/>
    </xf>
    <xf numFmtId="0" fontId="10" fillId="0" borderId="0" xfId="0" applyFont="1" applyFill="1"/>
    <xf numFmtId="4" fontId="11" fillId="0" borderId="0" xfId="0" applyNumberFormat="1" applyFont="1" applyFill="1" applyBorder="1"/>
    <xf numFmtId="4" fontId="11" fillId="0" borderId="0" xfId="0" applyNumberFormat="1" applyFont="1" applyFill="1" applyBorder="1" applyAlignment="1">
      <alignment horizontal="right"/>
    </xf>
    <xf numFmtId="0" fontId="7" fillId="2" borderId="0" xfId="0" applyFont="1" applyBorder="1"/>
    <xf numFmtId="0" fontId="5" fillId="0" borderId="1" xfId="0" applyFont="1" applyFill="1" applyBorder="1" applyAlignment="1">
      <alignment horizontal="center"/>
    </xf>
    <xf numFmtId="0" fontId="5" fillId="0" borderId="2" xfId="0" applyFont="1" applyFill="1" applyBorder="1" applyAlignment="1">
      <alignment horizontal="center" vertical="justify"/>
    </xf>
    <xf numFmtId="2"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justify" wrapText="1"/>
    </xf>
    <xf numFmtId="0" fontId="5" fillId="0" borderId="5" xfId="0" applyFont="1" applyFill="1" applyBorder="1" applyAlignment="1">
      <alignment horizontal="center"/>
    </xf>
    <xf numFmtId="0" fontId="5" fillId="0" borderId="6" xfId="0" applyFont="1" applyFill="1" applyBorder="1" applyAlignment="1">
      <alignment horizontal="center" vertical="justify"/>
    </xf>
    <xf numFmtId="0" fontId="5" fillId="0" borderId="7" xfId="0" applyFont="1" applyFill="1" applyBorder="1" applyAlignment="1">
      <alignment horizontal="center" vertical="justify"/>
    </xf>
    <xf numFmtId="0" fontId="5" fillId="0" borderId="8" xfId="0" applyFont="1" applyFill="1" applyBorder="1" applyAlignment="1">
      <alignment horizontal="center" vertical="justify"/>
    </xf>
    <xf numFmtId="0" fontId="5" fillId="0" borderId="9" xfId="0" applyFont="1" applyFill="1" applyBorder="1" applyAlignment="1">
      <alignment horizontal="center" vertical="justify"/>
    </xf>
    <xf numFmtId="2" fontId="5" fillId="0" borderId="10"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justify" wrapText="1"/>
    </xf>
    <xf numFmtId="1" fontId="4" fillId="0" borderId="12" xfId="0" applyNumberFormat="1" applyFont="1" applyFill="1" applyBorder="1" applyAlignment="1">
      <alignment horizontal="center"/>
    </xf>
    <xf numFmtId="1" fontId="4" fillId="0" borderId="13" xfId="0" applyNumberFormat="1" applyFont="1" applyFill="1" applyBorder="1" applyAlignment="1">
      <alignment horizontal="center"/>
    </xf>
    <xf numFmtId="180" fontId="4" fillId="0" borderId="14" xfId="0" applyNumberFormat="1" applyFont="1" applyFill="1" applyBorder="1" applyAlignment="1">
      <alignment horizontal="center"/>
    </xf>
    <xf numFmtId="8" fontId="5" fillId="0" borderId="15" xfId="0" applyNumberFormat="1" applyFont="1" applyFill="1" applyBorder="1" applyAlignment="1">
      <alignment horizontal="center"/>
    </xf>
    <xf numFmtId="8" fontId="4" fillId="0" borderId="16" xfId="0" applyNumberFormat="1" applyFont="1" applyFill="1" applyBorder="1" applyAlignment="1">
      <alignment horizontal="center"/>
    </xf>
    <xf numFmtId="1" fontId="4" fillId="0" borderId="17" xfId="0" applyNumberFormat="1" applyFont="1" applyFill="1" applyBorder="1" applyAlignment="1">
      <alignment horizontal="center"/>
    </xf>
    <xf numFmtId="1" fontId="4" fillId="0" borderId="18" xfId="0" applyNumberFormat="1" applyFont="1" applyFill="1" applyBorder="1" applyAlignment="1">
      <alignment horizontal="center"/>
    </xf>
    <xf numFmtId="180" fontId="4" fillId="0" borderId="19" xfId="0" applyNumberFormat="1" applyFont="1" applyFill="1" applyBorder="1" applyAlignment="1">
      <alignment horizontal="center"/>
    </xf>
    <xf numFmtId="164" fontId="4" fillId="0" borderId="18" xfId="0" applyNumberFormat="1" applyFont="1" applyFill="1" applyBorder="1" applyAlignment="1">
      <alignment horizontal="center"/>
    </xf>
    <xf numFmtId="1" fontId="13" fillId="0" borderId="17" xfId="0" applyNumberFormat="1" applyFont="1" applyFill="1" applyBorder="1" applyAlignment="1">
      <alignment horizontal="center"/>
    </xf>
    <xf numFmtId="180" fontId="13" fillId="0" borderId="19" xfId="0" applyNumberFormat="1" applyFont="1" applyFill="1" applyBorder="1" applyAlignment="1">
      <alignment horizontal="center"/>
    </xf>
    <xf numFmtId="164" fontId="13" fillId="0" borderId="18" xfId="0" applyNumberFormat="1" applyFont="1" applyFill="1" applyBorder="1" applyAlignment="1">
      <alignment horizontal="center"/>
    </xf>
    <xf numFmtId="8" fontId="13" fillId="0" borderId="16" xfId="0" applyNumberFormat="1" applyFont="1" applyFill="1" applyBorder="1" applyAlignment="1">
      <alignment horizontal="center"/>
    </xf>
    <xf numFmtId="1" fontId="5" fillId="0" borderId="20" xfId="0" applyNumberFormat="1" applyFont="1" applyFill="1" applyBorder="1" applyAlignment="1">
      <alignment horizontal="center"/>
    </xf>
    <xf numFmtId="1" fontId="5" fillId="0" borderId="21" xfId="0" applyNumberFormat="1" applyFont="1" applyFill="1" applyBorder="1" applyAlignment="1">
      <alignment horizontal="center"/>
    </xf>
    <xf numFmtId="164" fontId="5" fillId="0" borderId="21" xfId="0" applyNumberFormat="1" applyFont="1" applyFill="1" applyBorder="1" applyAlignment="1">
      <alignment horizontal="center"/>
    </xf>
    <xf numFmtId="2" fontId="0" fillId="2" borderId="0" xfId="0" applyNumberFormat="1" applyAlignment="1">
      <alignment horizontal="center"/>
    </xf>
    <xf numFmtId="8" fontId="4" fillId="0" borderId="15" xfId="0" applyNumberFormat="1" applyFont="1" applyFill="1" applyBorder="1" applyAlignment="1">
      <alignment horizontal="center"/>
    </xf>
    <xf numFmtId="8" fontId="13" fillId="0" borderId="15" xfId="0" applyNumberFormat="1" applyFont="1" applyFill="1" applyBorder="1" applyAlignment="1">
      <alignment horizontal="center"/>
    </xf>
    <xf numFmtId="180" fontId="4" fillId="0" borderId="21" xfId="0" applyNumberFormat="1" applyFont="1" applyFill="1" applyBorder="1" applyAlignment="1">
      <alignment horizontal="center"/>
    </xf>
    <xf numFmtId="185" fontId="4" fillId="0" borderId="22" xfId="0" applyNumberFormat="1" applyFont="1" applyFill="1" applyBorder="1" applyAlignment="1">
      <alignment horizontal="center"/>
    </xf>
    <xf numFmtId="185" fontId="13" fillId="0" borderId="22" xfId="0" applyNumberFormat="1" applyFont="1" applyFill="1" applyBorder="1" applyAlignment="1">
      <alignment horizontal="center"/>
    </xf>
    <xf numFmtId="164" fontId="0" fillId="2" borderId="0" xfId="0" applyNumberFormat="1"/>
    <xf numFmtId="0" fontId="14" fillId="2" borderId="0" xfId="0" applyFont="1"/>
    <xf numFmtId="164" fontId="14" fillId="2" borderId="0" xfId="0" applyNumberFormat="1" applyFont="1"/>
    <xf numFmtId="4" fontId="14" fillId="2" borderId="0" xfId="0" applyNumberFormat="1" applyFont="1"/>
    <xf numFmtId="164" fontId="11" fillId="0" borderId="0" xfId="0" applyNumberFormat="1" applyFont="1" applyFill="1" applyBorder="1"/>
    <xf numFmtId="164" fontId="5" fillId="2" borderId="0" xfId="0" applyNumberFormat="1" applyFont="1"/>
    <xf numFmtId="10" fontId="5" fillId="2" borderId="0" xfId="0" applyNumberFormat="1" applyFont="1"/>
    <xf numFmtId="0" fontId="0" fillId="3" borderId="23" xfId="0" applyFill="1" applyBorder="1"/>
    <xf numFmtId="165" fontId="4" fillId="0" borderId="0" xfId="0" applyNumberFormat="1" applyFont="1" applyFill="1" applyBorder="1" applyAlignment="1">
      <alignment horizontal="center"/>
    </xf>
    <xf numFmtId="8" fontId="4" fillId="0" borderId="13" xfId="0" applyNumberFormat="1" applyFont="1" applyFill="1" applyBorder="1" applyAlignment="1">
      <alignment horizontal="center"/>
    </xf>
    <xf numFmtId="8" fontId="4" fillId="0" borderId="18" xfId="0" applyNumberFormat="1" applyFont="1" applyFill="1" applyBorder="1" applyAlignment="1">
      <alignment horizontal="center"/>
    </xf>
    <xf numFmtId="0" fontId="5" fillId="0" borderId="24" xfId="0" applyFont="1" applyFill="1" applyBorder="1" applyAlignment="1">
      <alignment horizontal="center" vertical="justify"/>
    </xf>
    <xf numFmtId="165" fontId="4" fillId="0" borderId="14" xfId="0" applyNumberFormat="1" applyFont="1" applyFill="1" applyBorder="1" applyAlignment="1">
      <alignment horizontal="center"/>
    </xf>
    <xf numFmtId="165" fontId="4" fillId="0" borderId="22" xfId="0" applyNumberFormat="1" applyFont="1" applyFill="1" applyBorder="1" applyAlignment="1">
      <alignment horizontal="center"/>
    </xf>
    <xf numFmtId="165" fontId="4" fillId="0" borderId="19" xfId="0" applyNumberFormat="1" applyFont="1" applyFill="1" applyBorder="1" applyAlignment="1">
      <alignment horizontal="center"/>
    </xf>
    <xf numFmtId="165" fontId="13" fillId="0" borderId="19" xfId="0" applyNumberFormat="1" applyFont="1" applyFill="1" applyBorder="1" applyAlignment="1">
      <alignment horizontal="center"/>
    </xf>
    <xf numFmtId="165" fontId="4" fillId="0" borderId="21" xfId="0" applyNumberFormat="1" applyFont="1" applyFill="1" applyBorder="1" applyAlignment="1">
      <alignment horizontal="center"/>
    </xf>
    <xf numFmtId="8" fontId="0" fillId="2" borderId="0" xfId="0" applyNumberFormat="1"/>
    <xf numFmtId="0" fontId="0" fillId="2" borderId="23" xfId="0" applyBorder="1"/>
    <xf numFmtId="1" fontId="4" fillId="0" borderId="0" xfId="0" applyNumberFormat="1" applyFont="1" applyFill="1" applyBorder="1" applyAlignment="1">
      <alignment horizontal="center"/>
    </xf>
    <xf numFmtId="180" fontId="4" fillId="0" borderId="0" xfId="0" applyNumberFormat="1" applyFont="1" applyFill="1" applyBorder="1" applyAlignment="1">
      <alignment horizontal="center"/>
    </xf>
    <xf numFmtId="180" fontId="13" fillId="0" borderId="0" xfId="0" applyNumberFormat="1" applyFont="1" applyFill="1" applyBorder="1" applyAlignment="1">
      <alignment horizontal="center"/>
    </xf>
    <xf numFmtId="0" fontId="5" fillId="0" borderId="25" xfId="0" applyFont="1" applyFill="1" applyBorder="1" applyAlignment="1">
      <alignment horizontal="center" vertical="justify"/>
    </xf>
    <xf numFmtId="164" fontId="16" fillId="3" borderId="23" xfId="0" applyNumberFormat="1" applyFont="1" applyFill="1" applyBorder="1"/>
    <xf numFmtId="191" fontId="0" fillId="2" borderId="0" xfId="0" applyNumberFormat="1" applyAlignment="1">
      <alignment horizontal="center"/>
    </xf>
    <xf numFmtId="1" fontId="4" fillId="0" borderId="26" xfId="0" applyNumberFormat="1" applyFont="1" applyFill="1" applyBorder="1" applyAlignment="1">
      <alignment horizontal="center"/>
    </xf>
    <xf numFmtId="0" fontId="5" fillId="0" borderId="27" xfId="0" applyFont="1" applyFill="1" applyBorder="1" applyAlignment="1">
      <alignment vertical="center"/>
    </xf>
    <xf numFmtId="0" fontId="5" fillId="0" borderId="0" xfId="0" applyFont="1" applyFill="1" applyBorder="1" applyAlignment="1">
      <alignment horizontal="center" vertical="justify"/>
    </xf>
    <xf numFmtId="192" fontId="4" fillId="0" borderId="18" xfId="0" applyNumberFormat="1" applyFont="1" applyFill="1" applyBorder="1" applyAlignment="1">
      <alignment horizontal="center"/>
    </xf>
    <xf numFmtId="192" fontId="4" fillId="0" borderId="0" xfId="0" applyNumberFormat="1" applyFont="1" applyFill="1" applyBorder="1" applyAlignment="1">
      <alignment horizontal="center"/>
    </xf>
    <xf numFmtId="0" fontId="5" fillId="0" borderId="28" xfId="0" applyFont="1" applyFill="1" applyBorder="1" applyAlignment="1">
      <alignment horizontal="center" vertical="center" wrapText="1"/>
    </xf>
    <xf numFmtId="0" fontId="0" fillId="0" borderId="0" xfId="0" applyFill="1"/>
    <xf numFmtId="0" fontId="5" fillId="0" borderId="0" xfId="0" applyFont="1" applyFill="1" applyBorder="1" applyAlignment="1">
      <alignment horizontal="center" vertical="center" wrapText="1"/>
    </xf>
    <xf numFmtId="194" fontId="5" fillId="2" borderId="0" xfId="0" applyNumberFormat="1" applyFont="1"/>
    <xf numFmtId="186" fontId="5" fillId="4" borderId="0" xfId="0" applyNumberFormat="1" applyFont="1" applyFill="1"/>
    <xf numFmtId="0" fontId="0" fillId="2" borderId="0" xfId="0" applyBorder="1" applyAlignment="1">
      <alignment horizontal="center"/>
    </xf>
    <xf numFmtId="0" fontId="5" fillId="0" borderId="28" xfId="0" applyFont="1" applyFill="1" applyBorder="1" applyAlignment="1">
      <alignment horizontal="center" vertical="justify"/>
    </xf>
    <xf numFmtId="164" fontId="5" fillId="2" borderId="0" xfId="0" applyNumberFormat="1" applyFont="1" applyAlignment="1">
      <alignment horizontal="center"/>
    </xf>
    <xf numFmtId="0" fontId="5" fillId="2" borderId="0" xfId="0" applyFont="1" applyAlignment="1">
      <alignment horizontal="center"/>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justify"/>
    </xf>
    <xf numFmtId="0" fontId="5" fillId="0" borderId="33" xfId="0" applyFont="1" applyFill="1" applyBorder="1" applyAlignment="1">
      <alignment horizontal="center" vertical="justify"/>
    </xf>
    <xf numFmtId="0" fontId="5" fillId="0" borderId="34" xfId="0" applyFont="1" applyFill="1" applyBorder="1" applyAlignment="1">
      <alignment horizontal="center" vertical="justify"/>
    </xf>
    <xf numFmtId="180" fontId="13" fillId="0" borderId="35" xfId="0" applyNumberFormat="1" applyFont="1" applyFill="1" applyBorder="1" applyAlignment="1">
      <alignment horizontal="center"/>
    </xf>
    <xf numFmtId="0" fontId="5" fillId="5" borderId="36" xfId="0" applyFont="1" applyFill="1" applyBorder="1" applyAlignment="1">
      <alignment horizontal="center"/>
    </xf>
    <xf numFmtId="0" fontId="5" fillId="0" borderId="27" xfId="0" applyFont="1" applyFill="1" applyBorder="1" applyAlignment="1">
      <alignment horizontal="center" vertical="center"/>
    </xf>
    <xf numFmtId="164" fontId="13" fillId="0" borderId="37" xfId="0" applyNumberFormat="1" applyFont="1" applyFill="1" applyBorder="1" applyAlignment="1">
      <alignment horizontal="center"/>
    </xf>
    <xf numFmtId="0" fontId="5" fillId="2" borderId="38" xfId="0" applyFont="1" applyBorder="1" applyAlignment="1">
      <alignment horizontal="center"/>
    </xf>
    <xf numFmtId="0" fontId="5" fillId="2" borderId="39" xfId="0" applyFont="1" applyBorder="1" applyAlignment="1">
      <alignment horizontal="center"/>
    </xf>
    <xf numFmtId="0" fontId="5" fillId="2" borderId="40" xfId="0" applyFont="1" applyBorder="1" applyAlignment="1">
      <alignment horizontal="center"/>
    </xf>
    <xf numFmtId="0" fontId="5" fillId="2" borderId="41" xfId="0" applyFont="1" applyBorder="1" applyAlignment="1">
      <alignment horizontal="center"/>
    </xf>
    <xf numFmtId="0" fontId="5" fillId="2" borderId="23" xfId="0" applyFont="1" applyBorder="1" applyAlignment="1">
      <alignment horizontal="center"/>
    </xf>
    <xf numFmtId="0" fontId="5" fillId="2" borderId="42" xfId="0" applyFont="1" applyBorder="1" applyAlignment="1">
      <alignment horizontal="center"/>
    </xf>
    <xf numFmtId="186" fontId="5" fillId="2" borderId="0" xfId="0" applyNumberFormat="1" applyFont="1"/>
    <xf numFmtId="1" fontId="5" fillId="0" borderId="0" xfId="0" applyNumberFormat="1" applyFont="1" applyFill="1" applyBorder="1" applyAlignment="1">
      <alignment horizontal="center"/>
    </xf>
    <xf numFmtId="164"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164" fontId="5" fillId="0" borderId="43" xfId="0" applyNumberFormat="1" applyFont="1" applyFill="1" applyBorder="1" applyAlignment="1">
      <alignment horizontal="center"/>
    </xf>
    <xf numFmtId="0" fontId="0" fillId="2" borderId="0" xfId="0" applyAlignment="1">
      <alignment horizontal="right"/>
    </xf>
    <xf numFmtId="0" fontId="5" fillId="2" borderId="0" xfId="0" applyFont="1" applyAlignment="1"/>
    <xf numFmtId="0" fontId="0" fillId="2" borderId="0" xfId="0" applyAlignment="1"/>
    <xf numFmtId="0" fontId="0" fillId="6" borderId="0" xfId="0" applyFill="1" applyAlignment="1" applyProtection="1">
      <alignment horizontal="center"/>
      <protection locked="0"/>
    </xf>
    <xf numFmtId="0" fontId="0" fillId="2" borderId="0" xfId="0" applyAlignment="1" applyProtection="1">
      <alignment horizontal="center"/>
    </xf>
    <xf numFmtId="164" fontId="0" fillId="6" borderId="0" xfId="0" applyNumberFormat="1" applyFill="1" applyAlignment="1" applyProtection="1">
      <alignment horizontal="center"/>
      <protection locked="0"/>
    </xf>
    <xf numFmtId="10" fontId="0" fillId="6" borderId="0" xfId="0" applyNumberFormat="1" applyFill="1" applyAlignment="1" applyProtection="1">
      <alignment horizontal="center"/>
      <protection locked="0"/>
    </xf>
    <xf numFmtId="180" fontId="0" fillId="2" borderId="0" xfId="0" applyNumberFormat="1" applyAlignment="1" applyProtection="1">
      <alignment horizontal="right"/>
    </xf>
    <xf numFmtId="180" fontId="0" fillId="2" borderId="0" xfId="0" applyNumberFormat="1" applyAlignment="1" applyProtection="1">
      <alignment horizontal="right"/>
      <protection locked="0"/>
    </xf>
    <xf numFmtId="10" fontId="0" fillId="2" borderId="0" xfId="0" applyNumberFormat="1" applyAlignment="1" applyProtection="1">
      <alignment horizontal="left"/>
      <protection locked="0"/>
    </xf>
    <xf numFmtId="180" fontId="0" fillId="2" borderId="0" xfId="0" applyNumberFormat="1" applyAlignment="1">
      <alignment horizontal="center"/>
    </xf>
    <xf numFmtId="10" fontId="4" fillId="2" borderId="0" xfId="0" applyNumberFormat="1" applyFont="1" applyBorder="1" applyAlignment="1">
      <alignment horizontal="left"/>
    </xf>
    <xf numFmtId="180" fontId="0" fillId="2" borderId="0" xfId="0" applyNumberFormat="1" applyAlignment="1" applyProtection="1">
      <alignment horizontal="center"/>
    </xf>
    <xf numFmtId="0" fontId="0" fillId="0" borderId="0" xfId="0" applyFill="1" applyAlignment="1"/>
    <xf numFmtId="188" fontId="0" fillId="6" borderId="0" xfId="0" applyNumberFormat="1" applyFill="1" applyAlignment="1" applyProtection="1">
      <alignment horizontal="center"/>
      <protection locked="0"/>
    </xf>
    <xf numFmtId="2" fontId="0" fillId="2" borderId="0" xfId="0" applyNumberFormat="1" applyAlignment="1">
      <alignment horizontal="left"/>
    </xf>
    <xf numFmtId="0" fontId="5" fillId="2" borderId="26" xfId="0" applyFont="1" applyBorder="1"/>
    <xf numFmtId="0" fontId="12" fillId="2" borderId="26" xfId="0" applyFont="1" applyBorder="1"/>
    <xf numFmtId="0" fontId="5" fillId="2" borderId="25" xfId="0" applyFont="1" applyBorder="1"/>
    <xf numFmtId="0" fontId="12" fillId="2" borderId="25" xfId="0" applyFont="1" applyBorder="1"/>
    <xf numFmtId="4" fontId="0" fillId="2" borderId="0" xfId="0" applyNumberFormat="1"/>
    <xf numFmtId="0" fontId="5" fillId="3" borderId="0" xfId="0" applyFont="1" applyFill="1"/>
    <xf numFmtId="0" fontId="0" fillId="3" borderId="0" xfId="0" applyFill="1"/>
    <xf numFmtId="0" fontId="0" fillId="2" borderId="44" xfId="0" applyBorder="1"/>
    <xf numFmtId="0" fontId="0" fillId="2" borderId="25" xfId="0" applyBorder="1"/>
    <xf numFmtId="0" fontId="5" fillId="0" borderId="0" xfId="0" applyFont="1" applyFill="1" applyBorder="1"/>
    <xf numFmtId="0" fontId="19" fillId="0" borderId="0" xfId="0" applyFont="1" applyFill="1" applyBorder="1" applyAlignment="1">
      <alignment horizontal="left"/>
    </xf>
    <xf numFmtId="0" fontId="19" fillId="0" borderId="0" xfId="0" applyFont="1" applyFill="1" applyBorder="1" applyAlignment="1">
      <alignment horizontal="right"/>
    </xf>
    <xf numFmtId="165" fontId="19" fillId="0" borderId="0" xfId="0" applyNumberFormat="1" applyFont="1" applyFill="1" applyBorder="1" applyAlignment="1">
      <alignment horizontal="right"/>
    </xf>
    <xf numFmtId="0" fontId="5" fillId="0" borderId="0" xfId="0" applyFont="1" applyFill="1" applyBorder="1" applyAlignment="1">
      <alignment horizontal="right"/>
    </xf>
    <xf numFmtId="0" fontId="5" fillId="0" borderId="0" xfId="0" applyFont="1" applyFill="1" applyBorder="1" applyAlignment="1">
      <alignment horizontal="left"/>
    </xf>
    <xf numFmtId="165" fontId="5"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0" fontId="5" fillId="3" borderId="0" xfId="0" applyNumberFormat="1" applyFont="1" applyFill="1" applyBorder="1" applyAlignment="1">
      <alignment horizontal="left"/>
    </xf>
    <xf numFmtId="4" fontId="5" fillId="0" borderId="0" xfId="0" applyNumberFormat="1" applyFont="1" applyFill="1" applyBorder="1" applyAlignment="1">
      <alignment horizontal="right"/>
    </xf>
    <xf numFmtId="0" fontId="19" fillId="0" borderId="0" xfId="0" applyNumberFormat="1" applyFont="1" applyFill="1" applyBorder="1" applyAlignment="1">
      <alignment horizontal="left" wrapText="1"/>
    </xf>
    <xf numFmtId="0" fontId="5" fillId="3" borderId="0" xfId="0" applyNumberFormat="1" applyFont="1" applyFill="1" applyBorder="1" applyAlignment="1">
      <alignment horizontal="left" vertical="top"/>
    </xf>
    <xf numFmtId="2" fontId="5" fillId="0" borderId="0" xfId="0" applyNumberFormat="1" applyFont="1" applyFill="1" applyBorder="1" applyAlignment="1">
      <alignment horizontal="left"/>
    </xf>
    <xf numFmtId="0" fontId="5" fillId="0" borderId="0" xfId="0" applyNumberFormat="1" applyFont="1" applyFill="1" applyBorder="1" applyAlignment="1">
      <alignment horizontal="left" wrapText="1"/>
    </xf>
    <xf numFmtId="0" fontId="5" fillId="3" borderId="0" xfId="0" applyFont="1" applyFill="1" applyBorder="1" applyAlignment="1">
      <alignment horizontal="left"/>
    </xf>
    <xf numFmtId="0" fontId="5" fillId="3" borderId="0" xfId="0" applyFont="1" applyFill="1" applyBorder="1" applyAlignment="1">
      <alignment horizontal="right"/>
    </xf>
    <xf numFmtId="0" fontId="12" fillId="2" borderId="25" xfId="0" applyFont="1" applyBorder="1" applyAlignment="1">
      <alignment horizontal="center"/>
    </xf>
    <xf numFmtId="0" fontId="0" fillId="2" borderId="26" xfId="0" applyBorder="1"/>
    <xf numFmtId="0" fontId="0" fillId="2" borderId="26" xfId="0" applyBorder="1" applyAlignment="1">
      <alignment horizontal="center"/>
    </xf>
    <xf numFmtId="0" fontId="0" fillId="2" borderId="25" xfId="0" applyBorder="1" applyAlignment="1">
      <alignment horizontal="center"/>
    </xf>
    <xf numFmtId="4" fontId="0" fillId="2" borderId="23" xfId="0" applyNumberFormat="1" applyBorder="1"/>
    <xf numFmtId="4" fontId="0" fillId="2" borderId="44" xfId="0" applyNumberFormat="1" applyBorder="1"/>
    <xf numFmtId="164" fontId="5" fillId="3" borderId="0" xfId="0" applyNumberFormat="1" applyFont="1" applyFill="1"/>
    <xf numFmtId="4" fontId="0" fillId="0" borderId="0" xfId="0" applyNumberFormat="1" applyFill="1"/>
    <xf numFmtId="4" fontId="0" fillId="2" borderId="25" xfId="0" applyNumberFormat="1" applyBorder="1"/>
    <xf numFmtId="166" fontId="0" fillId="2" borderId="0" xfId="0" applyNumberFormat="1"/>
    <xf numFmtId="164" fontId="0" fillId="2" borderId="0" xfId="0" applyNumberFormat="1" applyBorder="1" applyAlignment="1">
      <alignment horizontal="center"/>
    </xf>
    <xf numFmtId="0" fontId="0" fillId="2" borderId="45" xfId="0" applyBorder="1"/>
    <xf numFmtId="0" fontId="0" fillId="2" borderId="46" xfId="0" applyBorder="1"/>
    <xf numFmtId="3" fontId="0" fillId="2" borderId="0" xfId="0" applyNumberFormat="1" applyAlignment="1">
      <alignment horizontal="center"/>
    </xf>
    <xf numFmtId="0" fontId="0" fillId="2" borderId="33" xfId="0" applyBorder="1"/>
    <xf numFmtId="0" fontId="0" fillId="2" borderId="45" xfId="0" applyBorder="1" applyAlignment="1">
      <alignment horizontal="center"/>
    </xf>
    <xf numFmtId="0" fontId="0" fillId="2" borderId="46" xfId="0" applyBorder="1" applyAlignment="1">
      <alignment horizontal="center"/>
    </xf>
    <xf numFmtId="0" fontId="0" fillId="2" borderId="47" xfId="0" applyBorder="1"/>
    <xf numFmtId="0" fontId="0" fillId="2" borderId="48" xfId="0" applyBorder="1" applyAlignment="1">
      <alignment horizontal="center"/>
    </xf>
    <xf numFmtId="0" fontId="0" fillId="2" borderId="33" xfId="0" applyBorder="1" applyAlignment="1">
      <alignment horizontal="center"/>
    </xf>
    <xf numFmtId="9" fontId="0" fillId="2" borderId="25" xfId="0" applyNumberFormat="1" applyBorder="1" applyAlignment="1">
      <alignment horizontal="center"/>
    </xf>
    <xf numFmtId="0" fontId="0" fillId="2" borderId="49" xfId="0" applyBorder="1" applyAlignment="1">
      <alignment horizontal="center"/>
    </xf>
    <xf numFmtId="0" fontId="0" fillId="0" borderId="0" xfId="0" applyFill="1" applyBorder="1" applyAlignment="1">
      <alignment horizontal="center"/>
    </xf>
    <xf numFmtId="9" fontId="0" fillId="0" borderId="0" xfId="0" applyNumberFormat="1" applyFill="1" applyBorder="1" applyAlignment="1">
      <alignment horizontal="center"/>
    </xf>
    <xf numFmtId="0" fontId="0" fillId="0" borderId="46" xfId="0" applyFill="1" applyBorder="1" applyAlignment="1">
      <alignment horizontal="center"/>
    </xf>
    <xf numFmtId="3" fontId="0" fillId="2" borderId="0" xfId="0" applyNumberFormat="1"/>
    <xf numFmtId="38" fontId="0" fillId="2" borderId="25" xfId="0" applyNumberFormat="1" applyBorder="1" applyAlignment="1">
      <alignment horizontal="center"/>
    </xf>
    <xf numFmtId="40" fontId="0" fillId="2" borderId="25" xfId="0" applyNumberFormat="1" applyBorder="1"/>
    <xf numFmtId="0" fontId="0" fillId="2" borderId="26" xfId="0" applyBorder="1" applyAlignment="1">
      <alignment horizontal="right"/>
    </xf>
    <xf numFmtId="6" fontId="0" fillId="4" borderId="25" xfId="0" applyNumberFormat="1" applyFill="1" applyBorder="1" applyAlignment="1">
      <alignment horizontal="center"/>
    </xf>
    <xf numFmtId="8" fontId="0" fillId="2" borderId="26" xfId="0" applyNumberFormat="1" applyBorder="1"/>
    <xf numFmtId="180" fontId="0" fillId="4" borderId="25" xfId="0" applyNumberFormat="1" applyFill="1" applyBorder="1" applyAlignment="1">
      <alignment horizontal="center"/>
    </xf>
    <xf numFmtId="0" fontId="0" fillId="10" borderId="0" xfId="0" applyFill="1"/>
    <xf numFmtId="4" fontId="5" fillId="10" borderId="0" xfId="0" applyNumberFormat="1" applyFont="1" applyFill="1"/>
    <xf numFmtId="164" fontId="5" fillId="10" borderId="0" xfId="0" applyNumberFormat="1" applyFont="1" applyFill="1"/>
    <xf numFmtId="4" fontId="4" fillId="2" borderId="0" xfId="0" applyNumberFormat="1" applyFont="1"/>
    <xf numFmtId="164" fontId="5" fillId="10" borderId="0" xfId="0" applyNumberFormat="1" applyFont="1" applyFill="1" applyBorder="1" applyAlignment="1">
      <alignment horizontal="right"/>
    </xf>
    <xf numFmtId="44" fontId="5" fillId="10" borderId="0" xfId="0" applyNumberFormat="1" applyFont="1" applyFill="1" applyBorder="1" applyAlignment="1">
      <alignment horizontal="right"/>
    </xf>
    <xf numFmtId="0" fontId="0" fillId="2" borderId="0" xfId="0" applyBorder="1"/>
    <xf numFmtId="0" fontId="0" fillId="2" borderId="50" xfId="0" applyBorder="1"/>
    <xf numFmtId="6" fontId="0" fillId="2" borderId="0" xfId="0" applyNumberFormat="1" applyBorder="1" applyAlignment="1">
      <alignment horizontal="center"/>
    </xf>
    <xf numFmtId="3" fontId="0" fillId="2" borderId="50" xfId="0" applyNumberFormat="1" applyBorder="1" applyAlignment="1">
      <alignment horizontal="center"/>
    </xf>
    <xf numFmtId="2" fontId="0" fillId="2" borderId="50" xfId="0" applyNumberFormat="1" applyBorder="1" applyAlignment="1">
      <alignment horizontal="center"/>
    </xf>
    <xf numFmtId="6" fontId="0" fillId="2" borderId="50" xfId="0" applyNumberFormat="1" applyBorder="1" applyAlignment="1">
      <alignment horizontal="center"/>
    </xf>
    <xf numFmtId="0" fontId="6" fillId="2" borderId="50" xfId="0" applyFont="1" applyBorder="1"/>
    <xf numFmtId="0" fontId="7" fillId="2" borderId="50" xfId="0" applyFont="1" applyBorder="1"/>
    <xf numFmtId="0" fontId="0" fillId="2" borderId="51" xfId="0" applyBorder="1" applyAlignment="1">
      <alignment horizontal="center" vertical="center" wrapText="1"/>
    </xf>
    <xf numFmtId="0" fontId="0" fillId="7" borderId="51" xfId="0" applyFill="1" applyBorder="1"/>
    <xf numFmtId="6" fontId="0" fillId="2" borderId="38" xfId="0" applyNumberFormat="1" applyBorder="1" applyAlignment="1">
      <alignment horizontal="center"/>
    </xf>
    <xf numFmtId="6" fontId="0" fillId="2" borderId="39" xfId="0" applyNumberFormat="1" applyBorder="1" applyAlignment="1">
      <alignment horizontal="center"/>
    </xf>
    <xf numFmtId="6" fontId="0" fillId="2" borderId="40" xfId="0" applyNumberFormat="1" applyBorder="1" applyAlignment="1">
      <alignment horizontal="center"/>
    </xf>
    <xf numFmtId="6" fontId="0" fillId="2" borderId="18" xfId="0" applyNumberFormat="1" applyBorder="1" applyAlignment="1">
      <alignment horizontal="center"/>
    </xf>
    <xf numFmtId="6" fontId="0" fillId="2" borderId="22" xfId="0" applyNumberFormat="1" applyBorder="1" applyAlignment="1">
      <alignment horizontal="center"/>
    </xf>
    <xf numFmtId="6" fontId="0" fillId="2" borderId="41" xfId="0" applyNumberFormat="1" applyBorder="1" applyAlignment="1">
      <alignment horizontal="center"/>
    </xf>
    <xf numFmtId="6" fontId="0" fillId="2" borderId="23" xfId="0" applyNumberFormat="1" applyBorder="1" applyAlignment="1">
      <alignment horizontal="center"/>
    </xf>
    <xf numFmtId="6" fontId="0" fillId="2" borderId="42" xfId="0" applyNumberFormat="1" applyBorder="1" applyAlignment="1">
      <alignment horizontal="center"/>
    </xf>
    <xf numFmtId="164" fontId="0" fillId="2" borderId="52" xfId="0" applyNumberFormat="1" applyBorder="1" applyAlignment="1">
      <alignment horizontal="center"/>
    </xf>
    <xf numFmtId="164" fontId="0" fillId="2" borderId="53" xfId="0" applyNumberFormat="1" applyBorder="1" applyAlignment="1">
      <alignment horizontal="center"/>
    </xf>
    <xf numFmtId="164" fontId="0" fillId="2" borderId="54" xfId="0" applyNumberFormat="1" applyBorder="1" applyAlignment="1">
      <alignment horizontal="center"/>
    </xf>
    <xf numFmtId="164" fontId="0" fillId="11" borderId="53" xfId="0" applyNumberFormat="1" applyFill="1" applyBorder="1" applyAlignment="1">
      <alignment horizontal="center"/>
    </xf>
    <xf numFmtId="6" fontId="0" fillId="11" borderId="0" xfId="0" applyNumberFormat="1" applyFill="1" applyBorder="1" applyAlignment="1">
      <alignment horizontal="center"/>
    </xf>
    <xf numFmtId="38" fontId="0" fillId="2" borderId="55" xfId="0" applyNumberFormat="1" applyBorder="1" applyAlignment="1">
      <alignment horizontal="center"/>
    </xf>
    <xf numFmtId="38" fontId="0" fillId="2" borderId="44" xfId="0" applyNumberFormat="1" applyBorder="1" applyAlignment="1">
      <alignment horizontal="center"/>
    </xf>
    <xf numFmtId="38" fontId="0" fillId="11" borderId="44" xfId="0" applyNumberFormat="1" applyFill="1" applyBorder="1" applyAlignment="1">
      <alignment horizontal="center"/>
    </xf>
    <xf numFmtId="38" fontId="0" fillId="2" borderId="56" xfId="0" applyNumberFormat="1" applyBorder="1" applyAlignment="1">
      <alignment horizontal="center"/>
    </xf>
    <xf numFmtId="0" fontId="0" fillId="2" borderId="39" xfId="0" applyBorder="1" applyAlignment="1">
      <alignment horizontal="center" vertical="center" wrapText="1"/>
    </xf>
    <xf numFmtId="0" fontId="0" fillId="2" borderId="40" xfId="0" applyBorder="1" applyAlignment="1">
      <alignment horizontal="center" vertical="center" wrapText="1"/>
    </xf>
    <xf numFmtId="0" fontId="0" fillId="2" borderId="52" xfId="0" applyBorder="1" applyAlignment="1">
      <alignment horizontal="center" wrapText="1"/>
    </xf>
    <xf numFmtId="0" fontId="0" fillId="7" borderId="53" xfId="0" applyFill="1" applyBorder="1"/>
    <xf numFmtId="165" fontId="0" fillId="2" borderId="53" xfId="0" applyNumberFormat="1" applyBorder="1" applyAlignment="1">
      <alignment horizontal="center"/>
    </xf>
    <xf numFmtId="165" fontId="0" fillId="2" borderId="54" xfId="0" applyNumberFormat="1" applyBorder="1" applyAlignment="1">
      <alignment horizontal="center"/>
    </xf>
    <xf numFmtId="165" fontId="0" fillId="11" borderId="53" xfId="0" applyNumberFormat="1" applyFill="1" applyBorder="1" applyAlignment="1">
      <alignment horizontal="center"/>
    </xf>
    <xf numFmtId="0" fontId="0" fillId="2" borderId="38" xfId="0" applyBorder="1" applyAlignment="1">
      <alignment horizontal="center"/>
    </xf>
    <xf numFmtId="0" fontId="0" fillId="2" borderId="39" xfId="0" applyBorder="1" applyAlignment="1">
      <alignment horizontal="center"/>
    </xf>
    <xf numFmtId="0" fontId="0" fillId="2" borderId="40" xfId="0" applyBorder="1" applyAlignment="1">
      <alignment horizontal="center"/>
    </xf>
    <xf numFmtId="3" fontId="0" fillId="2" borderId="18" xfId="0" applyNumberFormat="1" applyBorder="1" applyAlignment="1">
      <alignment horizontal="center"/>
    </xf>
    <xf numFmtId="180" fontId="0" fillId="2" borderId="0" xfId="0" applyNumberFormat="1" applyBorder="1" applyAlignment="1">
      <alignment horizontal="center"/>
    </xf>
    <xf numFmtId="3" fontId="0" fillId="2" borderId="41" xfId="0" applyNumberFormat="1" applyBorder="1" applyAlignment="1">
      <alignment horizontal="center"/>
    </xf>
    <xf numFmtId="164" fontId="0" fillId="2" borderId="23" xfId="0" applyNumberFormat="1" applyBorder="1" applyAlignment="1">
      <alignment horizontal="center"/>
    </xf>
    <xf numFmtId="180" fontId="0" fillId="2" borderId="23" xfId="0" applyNumberFormat="1" applyBorder="1" applyAlignment="1">
      <alignment horizontal="center"/>
    </xf>
    <xf numFmtId="180" fontId="0" fillId="2" borderId="18" xfId="0" applyNumberFormat="1" applyBorder="1" applyAlignment="1">
      <alignment horizontal="center"/>
    </xf>
    <xf numFmtId="180" fontId="0" fillId="2" borderId="22" xfId="0" applyNumberFormat="1" applyBorder="1" applyAlignment="1">
      <alignment horizontal="center"/>
    </xf>
    <xf numFmtId="180" fontId="0" fillId="2" borderId="41" xfId="0" applyNumberFormat="1" applyBorder="1" applyAlignment="1">
      <alignment horizontal="center"/>
    </xf>
    <xf numFmtId="180" fontId="0" fillId="2" borderId="42" xfId="0" applyNumberFormat="1" applyBorder="1" applyAlignment="1">
      <alignment horizontal="center"/>
    </xf>
    <xf numFmtId="0" fontId="0" fillId="2" borderId="38" xfId="0" applyBorder="1" applyAlignment="1">
      <alignment horizontal="center" vertical="center" wrapText="1"/>
    </xf>
    <xf numFmtId="0" fontId="0" fillId="2" borderId="41" xfId="0" applyBorder="1"/>
    <xf numFmtId="0" fontId="0" fillId="2" borderId="42" xfId="0" applyBorder="1"/>
    <xf numFmtId="0" fontId="0" fillId="2" borderId="51" xfId="0" applyBorder="1" applyAlignment="1">
      <alignment horizontal="center"/>
    </xf>
    <xf numFmtId="165" fontId="0" fillId="2" borderId="0" xfId="0" applyNumberFormat="1" applyBorder="1" applyAlignment="1">
      <alignment horizontal="center"/>
    </xf>
    <xf numFmtId="165" fontId="0" fillId="2" borderId="23" xfId="0" applyNumberFormat="1" applyBorder="1" applyAlignment="1">
      <alignment horizontal="center"/>
    </xf>
    <xf numFmtId="3" fontId="0" fillId="11" borderId="18" xfId="0" applyNumberFormat="1" applyFill="1" applyBorder="1" applyAlignment="1">
      <alignment horizontal="center"/>
    </xf>
    <xf numFmtId="164" fontId="0" fillId="11" borderId="0" xfId="0" applyNumberFormat="1" applyFill="1" applyBorder="1" applyAlignment="1">
      <alignment horizontal="center"/>
    </xf>
    <xf numFmtId="180" fontId="0" fillId="11" borderId="18" xfId="0" applyNumberFormat="1" applyFill="1" applyBorder="1" applyAlignment="1">
      <alignment horizontal="center"/>
    </xf>
    <xf numFmtId="180" fontId="0" fillId="11" borderId="0" xfId="0" applyNumberFormat="1" applyFill="1" applyBorder="1" applyAlignment="1">
      <alignment horizontal="center"/>
    </xf>
    <xf numFmtId="180" fontId="0" fillId="11" borderId="22" xfId="0" applyNumberFormat="1" applyFill="1" applyBorder="1" applyAlignment="1">
      <alignment horizontal="center"/>
    </xf>
    <xf numFmtId="6" fontId="0" fillId="11" borderId="22" xfId="0" applyNumberFormat="1" applyFill="1" applyBorder="1" applyAlignment="1">
      <alignment horizontal="center"/>
    </xf>
    <xf numFmtId="165" fontId="0" fillId="11" borderId="0" xfId="0" applyNumberFormat="1" applyFill="1" applyBorder="1" applyAlignment="1">
      <alignment horizontal="center"/>
    </xf>
    <xf numFmtId="1" fontId="0" fillId="2" borderId="0" xfId="0" applyNumberFormat="1"/>
    <xf numFmtId="1" fontId="0" fillId="2" borderId="0" xfId="0" applyNumberFormat="1" applyAlignment="1">
      <alignment horizontal="center"/>
    </xf>
    <xf numFmtId="180" fontId="0" fillId="2" borderId="25" xfId="0" applyNumberFormat="1" applyBorder="1" applyAlignment="1">
      <alignment horizontal="center"/>
    </xf>
    <xf numFmtId="6" fontId="0" fillId="2" borderId="0" xfId="0" applyNumberFormat="1" applyAlignment="1">
      <alignment horizontal="right"/>
    </xf>
    <xf numFmtId="180" fontId="0" fillId="2" borderId="25" xfId="0" applyNumberFormat="1" applyBorder="1" applyAlignment="1">
      <alignment horizontal="right"/>
    </xf>
    <xf numFmtId="180" fontId="0" fillId="2" borderId="0" xfId="0" applyNumberFormat="1" applyAlignment="1">
      <alignment horizontal="right"/>
    </xf>
    <xf numFmtId="6" fontId="0" fillId="2" borderId="46" xfId="0" applyNumberFormat="1" applyBorder="1" applyAlignment="1">
      <alignment horizontal="right"/>
    </xf>
    <xf numFmtId="180" fontId="0" fillId="2" borderId="49" xfId="0" applyNumberFormat="1" applyBorder="1" applyAlignment="1">
      <alignment horizontal="right"/>
    </xf>
    <xf numFmtId="164" fontId="13" fillId="0" borderId="0" xfId="0" applyNumberFormat="1" applyFont="1" applyFill="1" applyBorder="1" applyAlignment="1">
      <alignment horizontal="center"/>
    </xf>
    <xf numFmtId="6" fontId="0" fillId="12" borderId="0" xfId="0" applyNumberFormat="1" applyFill="1" applyAlignment="1">
      <alignment horizontal="right"/>
    </xf>
    <xf numFmtId="0" fontId="0" fillId="12" borderId="45" xfId="0" applyFill="1" applyBorder="1" applyAlignment="1">
      <alignment horizontal="center"/>
    </xf>
    <xf numFmtId="0" fontId="5" fillId="3" borderId="0" xfId="0" applyFont="1" applyFill="1" applyAlignment="1">
      <alignment vertical="center" wrapText="1"/>
    </xf>
    <xf numFmtId="0" fontId="4" fillId="4" borderId="25" xfId="0" applyFont="1" applyFill="1" applyBorder="1" applyAlignment="1">
      <alignment horizontal="center"/>
    </xf>
    <xf numFmtId="4" fontId="0" fillId="2" borderId="0" xfId="0" applyNumberFormat="1" applyBorder="1"/>
    <xf numFmtId="0" fontId="5" fillId="12" borderId="0" xfId="0" applyFont="1" applyFill="1"/>
    <xf numFmtId="164" fontId="5" fillId="12" borderId="0" xfId="0" applyNumberFormat="1" applyFont="1" applyFill="1"/>
    <xf numFmtId="0" fontId="12" fillId="2" borderId="26" xfId="0" applyFont="1" applyBorder="1" applyAlignment="1">
      <alignment horizontal="center"/>
    </xf>
    <xf numFmtId="0" fontId="4" fillId="13" borderId="0" xfId="0" applyFont="1" applyFill="1"/>
    <xf numFmtId="0" fontId="0" fillId="12" borderId="0" xfId="0" applyFill="1"/>
    <xf numFmtId="2" fontId="0" fillId="12" borderId="0" xfId="0" applyNumberFormat="1" applyFill="1"/>
    <xf numFmtId="192" fontId="0" fillId="2" borderId="0" xfId="0" applyNumberFormat="1"/>
    <xf numFmtId="0" fontId="4" fillId="2" borderId="23" xfId="0" applyFont="1" applyBorder="1"/>
    <xf numFmtId="164" fontId="4" fillId="2" borderId="0" xfId="0" applyNumberFormat="1" applyFont="1"/>
    <xf numFmtId="192" fontId="5" fillId="2" borderId="0" xfId="0" applyNumberFormat="1" applyFont="1"/>
    <xf numFmtId="186" fontId="5" fillId="2" borderId="0" xfId="0" applyNumberFormat="1" applyFont="1" applyAlignment="1">
      <alignment horizontal="center"/>
    </xf>
    <xf numFmtId="0" fontId="5" fillId="11" borderId="0" xfId="0" applyFont="1" applyFill="1" applyAlignment="1">
      <alignment horizontal="center"/>
    </xf>
    <xf numFmtId="0" fontId="10" fillId="13" borderId="0" xfId="0" applyFont="1" applyFill="1"/>
    <xf numFmtId="0" fontId="15" fillId="13" borderId="57" xfId="0" applyFont="1" applyFill="1" applyBorder="1"/>
    <xf numFmtId="164" fontId="10" fillId="13" borderId="57" xfId="0" applyNumberFormat="1" applyFont="1" applyFill="1" applyBorder="1"/>
    <xf numFmtId="0" fontId="10" fillId="13" borderId="57" xfId="0" applyFont="1" applyFill="1" applyBorder="1"/>
    <xf numFmtId="164" fontId="10" fillId="12" borderId="26" xfId="0" applyNumberFormat="1" applyFont="1" applyFill="1" applyBorder="1"/>
    <xf numFmtId="0" fontId="10" fillId="12" borderId="0" xfId="0" applyFont="1" applyFill="1" applyBorder="1"/>
    <xf numFmtId="164" fontId="10" fillId="12" borderId="0" xfId="0" applyNumberFormat="1" applyFont="1" applyFill="1" applyBorder="1"/>
    <xf numFmtId="0" fontId="10" fillId="12" borderId="28" xfId="0" applyFont="1" applyFill="1" applyBorder="1"/>
    <xf numFmtId="0" fontId="17" fillId="2" borderId="0" xfId="0" applyFont="1"/>
    <xf numFmtId="4" fontId="17" fillId="2" borderId="0" xfId="0" applyNumberFormat="1" applyFont="1"/>
    <xf numFmtId="3" fontId="17" fillId="2" borderId="0" xfId="0" applyNumberFormat="1" applyFont="1" applyAlignment="1">
      <alignment horizontal="center"/>
    </xf>
    <xf numFmtId="191" fontId="6" fillId="2" borderId="50" xfId="0" applyNumberFormat="1" applyFont="1" applyBorder="1" applyAlignment="1">
      <alignment horizontal="center"/>
    </xf>
    <xf numFmtId="4" fontId="0" fillId="0" borderId="0" xfId="0" applyNumberFormat="1" applyFill="1" applyBorder="1"/>
    <xf numFmtId="191" fontId="0" fillId="2" borderId="0" xfId="0" applyNumberFormat="1"/>
    <xf numFmtId="202" fontId="0" fillId="2" borderId="0" xfId="0" applyNumberFormat="1" applyAlignment="1">
      <alignment horizontal="center"/>
    </xf>
    <xf numFmtId="3" fontId="0" fillId="2" borderId="23" xfId="0" applyNumberFormat="1" applyBorder="1"/>
    <xf numFmtId="0" fontId="0" fillId="10" borderId="23" xfId="0" applyFill="1" applyBorder="1"/>
    <xf numFmtId="0" fontId="0" fillId="10" borderId="0" xfId="0" applyFill="1" applyAlignment="1">
      <alignment horizontal="center"/>
    </xf>
    <xf numFmtId="0" fontId="4" fillId="10" borderId="0" xfId="0" applyFont="1" applyFill="1" applyAlignment="1">
      <alignment horizontal="center"/>
    </xf>
    <xf numFmtId="0" fontId="4" fillId="10" borderId="0" xfId="0" applyFont="1" applyFill="1"/>
    <xf numFmtId="2" fontId="0" fillId="12" borderId="0" xfId="0" applyNumberFormat="1" applyFill="1" applyBorder="1"/>
    <xf numFmtId="0" fontId="4" fillId="10" borderId="0" xfId="0" applyFont="1" applyFill="1" applyAlignment="1">
      <alignment horizontal="right"/>
    </xf>
    <xf numFmtId="2" fontId="4" fillId="2" borderId="0" xfId="0" applyNumberFormat="1" applyFont="1" applyAlignment="1">
      <alignment horizontal="center"/>
    </xf>
    <xf numFmtId="186" fontId="0" fillId="2" borderId="0" xfId="0" applyNumberFormat="1" applyAlignment="1">
      <alignment horizontal="center"/>
    </xf>
    <xf numFmtId="0" fontId="5" fillId="14" borderId="58" xfId="0" applyNumberFormat="1" applyFont="1" applyFill="1" applyBorder="1" applyAlignment="1">
      <alignment horizontal="center" vertical="center" wrapText="1"/>
    </xf>
    <xf numFmtId="0" fontId="0" fillId="12" borderId="0" xfId="0" applyFill="1" applyAlignment="1">
      <alignment horizontal="center"/>
    </xf>
    <xf numFmtId="0" fontId="8" fillId="12" borderId="0" xfId="0" applyFont="1" applyFill="1"/>
    <xf numFmtId="0" fontId="21" fillId="15" borderId="59" xfId="0" applyFont="1" applyFill="1" applyBorder="1"/>
    <xf numFmtId="0" fontId="21" fillId="14" borderId="59" xfId="0" applyFont="1" applyFill="1" applyBorder="1"/>
    <xf numFmtId="0" fontId="5" fillId="5" borderId="60" xfId="0" applyFont="1" applyFill="1" applyBorder="1"/>
    <xf numFmtId="0" fontId="0" fillId="12" borderId="0" xfId="0" applyFill="1" applyBorder="1"/>
    <xf numFmtId="3" fontId="0" fillId="2" borderId="0" xfId="0" applyNumberFormat="1" applyBorder="1" applyAlignment="1">
      <alignment horizontal="center"/>
    </xf>
    <xf numFmtId="4" fontId="4" fillId="2" borderId="0" xfId="0" applyNumberFormat="1" applyFont="1" applyBorder="1"/>
    <xf numFmtId="192" fontId="0" fillId="12" borderId="0" xfId="0" applyNumberFormat="1" applyFill="1"/>
    <xf numFmtId="191" fontId="0" fillId="12" borderId="0" xfId="0" applyNumberFormat="1" applyFill="1"/>
    <xf numFmtId="191" fontId="0" fillId="12" borderId="0" xfId="0" applyNumberFormat="1" applyFill="1" applyAlignment="1">
      <alignment horizontal="center"/>
    </xf>
    <xf numFmtId="164" fontId="0" fillId="12" borderId="0" xfId="0" applyNumberFormat="1" applyFill="1"/>
    <xf numFmtId="164" fontId="0" fillId="12" borderId="0" xfId="0" applyNumberFormat="1" applyFill="1" applyAlignment="1" applyProtection="1">
      <alignment horizontal="center"/>
      <protection locked="0"/>
    </xf>
    <xf numFmtId="2" fontId="5" fillId="3" borderId="0" xfId="0" applyNumberFormat="1" applyFont="1" applyFill="1"/>
    <xf numFmtId="0" fontId="10" fillId="16" borderId="0" xfId="0" applyFont="1" applyFill="1"/>
    <xf numFmtId="0" fontId="14" fillId="16" borderId="0" xfId="0" applyFont="1" applyFill="1"/>
    <xf numFmtId="0" fontId="11" fillId="16" borderId="0" xfId="0" applyFont="1" applyFill="1"/>
    <xf numFmtId="164" fontId="15" fillId="13" borderId="57" xfId="0" applyNumberFormat="1" applyFont="1" applyFill="1" applyBorder="1"/>
    <xf numFmtId="0" fontId="10" fillId="13" borderId="0" xfId="0" applyFont="1" applyFill="1" applyAlignment="1">
      <alignment horizontal="center"/>
    </xf>
    <xf numFmtId="0" fontId="10" fillId="13" borderId="61" xfId="0" applyFont="1" applyFill="1" applyBorder="1"/>
    <xf numFmtId="164" fontId="10" fillId="13" borderId="62" xfId="0" applyNumberFormat="1" applyFont="1" applyFill="1" applyBorder="1"/>
    <xf numFmtId="4" fontId="14" fillId="13" borderId="0" xfId="0" applyNumberFormat="1" applyFont="1" applyFill="1"/>
    <xf numFmtId="164" fontId="10" fillId="13" borderId="0" xfId="0" applyNumberFormat="1" applyFont="1" applyFill="1"/>
    <xf numFmtId="4" fontId="15" fillId="13" borderId="0" xfId="0" applyNumberFormat="1" applyFont="1" applyFill="1"/>
    <xf numFmtId="0" fontId="15" fillId="13" borderId="0" xfId="0" applyFont="1" applyFill="1"/>
    <xf numFmtId="0" fontId="23" fillId="2" borderId="0" xfId="0" applyFont="1" applyAlignment="1">
      <alignment horizontal="center"/>
    </xf>
    <xf numFmtId="0" fontId="4" fillId="2" borderId="0" xfId="0" applyFont="1" applyAlignment="1">
      <alignment horizontal="left"/>
    </xf>
    <xf numFmtId="0" fontId="4" fillId="2" borderId="0" xfId="0" applyFont="1" applyAlignment="1">
      <alignment horizontal="left" vertical="top" wrapText="1" readingOrder="1"/>
    </xf>
    <xf numFmtId="0" fontId="4" fillId="2" borderId="0" xfId="0" applyFont="1" applyAlignment="1">
      <alignment horizontal="center" vertical="top" wrapText="1"/>
    </xf>
    <xf numFmtId="0" fontId="24" fillId="2" borderId="0" xfId="0" applyFont="1" applyAlignment="1">
      <alignment horizontal="center"/>
    </xf>
    <xf numFmtId="15" fontId="0" fillId="17" borderId="0" xfId="0" applyNumberFormat="1" applyFill="1"/>
    <xf numFmtId="0" fontId="8" fillId="2" borderId="0" xfId="0" applyFont="1" applyBorder="1"/>
    <xf numFmtId="165" fontId="0" fillId="12" borderId="0" xfId="0" applyNumberFormat="1" applyFill="1"/>
    <xf numFmtId="0" fontId="8" fillId="12" borderId="0" xfId="0" applyFont="1" applyFill="1" applyBorder="1"/>
    <xf numFmtId="15" fontId="0" fillId="12" borderId="0" xfId="0" applyNumberFormat="1" applyFill="1"/>
    <xf numFmtId="0" fontId="4" fillId="12" borderId="0" xfId="0" applyFont="1" applyFill="1" applyAlignment="1">
      <alignment horizontal="center"/>
    </xf>
    <xf numFmtId="0" fontId="25" fillId="2" borderId="0" xfId="0" applyFont="1" applyAlignment="1">
      <alignment horizontal="left"/>
    </xf>
    <xf numFmtId="0" fontId="5" fillId="2" borderId="0" xfId="0" applyFont="1" applyAlignment="1">
      <alignment horizontal="left"/>
    </xf>
    <xf numFmtId="10" fontId="0" fillId="12" borderId="0" xfId="0" applyNumberFormat="1" applyFill="1" applyBorder="1" applyAlignment="1">
      <alignment horizontal="center"/>
    </xf>
    <xf numFmtId="0" fontId="9" fillId="12" borderId="63" xfId="0" applyFont="1" applyFill="1" applyBorder="1" applyAlignment="1">
      <alignment horizontal="center" vertical="center" wrapText="1"/>
    </xf>
    <xf numFmtId="0" fontId="9" fillId="2" borderId="63" xfId="0" applyFont="1" applyBorder="1" applyAlignment="1">
      <alignment horizontal="center" vertical="center" wrapText="1"/>
    </xf>
    <xf numFmtId="0" fontId="0" fillId="12" borderId="64" xfId="0" applyFill="1" applyBorder="1" applyAlignment="1">
      <alignment horizontal="left" vertical="center"/>
    </xf>
    <xf numFmtId="0" fontId="0" fillId="18" borderId="65" xfId="0" applyFill="1" applyBorder="1" applyAlignment="1">
      <alignment vertical="center"/>
    </xf>
    <xf numFmtId="164" fontId="4" fillId="2" borderId="54" xfId="0" applyNumberFormat="1" applyFont="1" applyBorder="1" applyAlignment="1">
      <alignment horizontal="center" vertical="center"/>
    </xf>
    <xf numFmtId="164" fontId="0" fillId="2" borderId="54" xfId="0" applyNumberFormat="1" applyBorder="1" applyAlignment="1">
      <alignment horizontal="center" vertical="center"/>
    </xf>
    <xf numFmtId="0" fontId="0" fillId="12" borderId="51" xfId="0" applyFill="1" applyBorder="1" applyAlignment="1">
      <alignment horizontal="left" vertical="center" wrapText="1"/>
    </xf>
    <xf numFmtId="164" fontId="0" fillId="12" borderId="54" xfId="0" applyNumberFormat="1" applyFill="1" applyBorder="1" applyAlignment="1">
      <alignment horizontal="center" vertical="center"/>
    </xf>
    <xf numFmtId="0" fontId="0" fillId="18" borderId="53" xfId="0" applyFill="1" applyBorder="1" applyAlignment="1">
      <alignment vertical="center"/>
    </xf>
    <xf numFmtId="164" fontId="4" fillId="2" borderId="51" xfId="0" applyNumberFormat="1" applyFont="1" applyBorder="1" applyAlignment="1">
      <alignment horizontal="center" vertical="center"/>
    </xf>
    <xf numFmtId="164" fontId="0" fillId="2" borderId="51" xfId="0" applyNumberFormat="1" applyBorder="1" applyAlignment="1">
      <alignment horizontal="center" vertical="center"/>
    </xf>
    <xf numFmtId="0" fontId="8" fillId="18" borderId="53" xfId="0" applyFont="1" applyFill="1" applyBorder="1" applyAlignment="1">
      <alignment vertical="center"/>
    </xf>
    <xf numFmtId="0" fontId="4" fillId="12" borderId="51" xfId="0" applyFont="1" applyFill="1" applyBorder="1" applyAlignment="1">
      <alignment horizontal="left" vertical="center" wrapText="1"/>
    </xf>
    <xf numFmtId="0" fontId="8" fillId="18" borderId="54" xfId="0" applyFont="1" applyFill="1" applyBorder="1" applyAlignment="1">
      <alignment vertical="center"/>
    </xf>
    <xf numFmtId="0" fontId="0" fillId="18" borderId="52" xfId="0" applyFill="1" applyBorder="1" applyAlignment="1">
      <alignment vertical="center"/>
    </xf>
    <xf numFmtId="164" fontId="0" fillId="12" borderId="51" xfId="0" applyNumberFormat="1" applyFill="1" applyBorder="1" applyAlignment="1">
      <alignment horizontal="center" vertical="center"/>
    </xf>
    <xf numFmtId="0" fontId="0" fillId="18" borderId="54" xfId="0" applyFill="1" applyBorder="1" applyAlignment="1">
      <alignment vertical="center"/>
    </xf>
    <xf numFmtId="0" fontId="4" fillId="2" borderId="0" xfId="0" applyFont="1" applyBorder="1" applyAlignment="1">
      <alignment horizontal="center"/>
    </xf>
    <xf numFmtId="0" fontId="4" fillId="2" borderId="0" xfId="0" applyFont="1" applyAlignment="1">
      <alignment horizontal="center" wrapText="1"/>
    </xf>
    <xf numFmtId="0" fontId="0" fillId="2" borderId="66" xfId="0" applyBorder="1" applyAlignment="1">
      <alignment horizontal="center"/>
    </xf>
    <xf numFmtId="0" fontId="4" fillId="2" borderId="39" xfId="0" applyFont="1" applyBorder="1" applyAlignment="1">
      <alignment horizontal="center"/>
    </xf>
    <xf numFmtId="0" fontId="0" fillId="2" borderId="67" xfId="0" applyBorder="1" applyAlignment="1">
      <alignment horizontal="center"/>
    </xf>
    <xf numFmtId="0" fontId="35" fillId="0" borderId="0" xfId="5"/>
    <xf numFmtId="0" fontId="35" fillId="0" borderId="0" xfId="5" applyAlignment="1">
      <alignment horizontal="right"/>
    </xf>
    <xf numFmtId="0" fontId="35" fillId="0" borderId="0" xfId="5" applyProtection="1">
      <protection hidden="1"/>
    </xf>
    <xf numFmtId="0" fontId="35" fillId="0" borderId="0" xfId="5" applyAlignment="1" applyProtection="1">
      <alignment horizontal="right"/>
      <protection hidden="1"/>
    </xf>
    <xf numFmtId="0" fontId="35" fillId="0" borderId="0" xfId="5" applyAlignment="1" applyProtection="1">
      <alignment horizontal="left"/>
      <protection hidden="1"/>
    </xf>
    <xf numFmtId="0" fontId="35" fillId="0" borderId="0" xfId="5" applyAlignment="1">
      <alignment horizontal="center"/>
    </xf>
    <xf numFmtId="3" fontId="35" fillId="0" borderId="0" xfId="5" applyNumberFormat="1" applyAlignment="1" applyProtection="1">
      <alignment horizontal="center"/>
      <protection hidden="1"/>
    </xf>
    <xf numFmtId="180" fontId="35" fillId="0" borderId="0" xfId="5" applyNumberFormat="1" applyAlignment="1" applyProtection="1">
      <alignment horizontal="right"/>
      <protection hidden="1"/>
    </xf>
    <xf numFmtId="180" fontId="35" fillId="0" borderId="0" xfId="5" applyNumberFormat="1" applyAlignment="1" applyProtection="1">
      <alignment horizontal="right"/>
      <protection locked="0" hidden="1"/>
    </xf>
    <xf numFmtId="10" fontId="35" fillId="0" borderId="0" xfId="5" applyNumberFormat="1" applyAlignment="1" applyProtection="1">
      <alignment horizontal="left"/>
      <protection locked="0"/>
    </xf>
    <xf numFmtId="180" fontId="35" fillId="0" borderId="0" xfId="5" applyNumberFormat="1" applyAlignment="1" applyProtection="1">
      <alignment horizontal="center"/>
      <protection hidden="1"/>
    </xf>
    <xf numFmtId="10" fontId="4" fillId="0" borderId="0" xfId="5" applyNumberFormat="1" applyFont="1" applyBorder="1" applyAlignment="1">
      <alignment horizontal="left"/>
    </xf>
    <xf numFmtId="0" fontId="35" fillId="0" borderId="0" xfId="5" applyFill="1"/>
    <xf numFmtId="0" fontId="35" fillId="0" borderId="0" xfId="5" applyFill="1" applyAlignment="1" applyProtection="1">
      <protection hidden="1"/>
    </xf>
    <xf numFmtId="0" fontId="35" fillId="0" borderId="0" xfId="5" applyFill="1" applyProtection="1">
      <protection hidden="1"/>
    </xf>
    <xf numFmtId="192" fontId="35" fillId="0" borderId="0" xfId="5" applyNumberFormat="1" applyAlignment="1" applyProtection="1">
      <alignment horizontal="right"/>
      <protection hidden="1"/>
    </xf>
    <xf numFmtId="0" fontId="35" fillId="0" borderId="0" xfId="5" applyAlignment="1">
      <alignment horizontal="left"/>
    </xf>
    <xf numFmtId="2" fontId="35" fillId="0" borderId="0" xfId="5" applyNumberFormat="1" applyAlignment="1" applyProtection="1">
      <alignment horizontal="center"/>
      <protection hidden="1"/>
    </xf>
    <xf numFmtId="0" fontId="10" fillId="0" borderId="0" xfId="5" applyFont="1" applyBorder="1" applyAlignment="1">
      <alignment horizontal="center"/>
    </xf>
    <xf numFmtId="43" fontId="6" fillId="0" borderId="0" xfId="3" applyNumberFormat="1" applyFont="1" applyBorder="1" applyAlignment="1">
      <alignment horizontal="left"/>
    </xf>
    <xf numFmtId="43" fontId="6" fillId="0" borderId="0" xfId="3" applyNumberFormat="1" applyFont="1" applyBorder="1"/>
    <xf numFmtId="0" fontId="5" fillId="0" borderId="0" xfId="5" applyFont="1" applyAlignment="1"/>
    <xf numFmtId="0" fontId="37" fillId="13" borderId="68" xfId="5" applyFont="1" applyFill="1" applyBorder="1"/>
    <xf numFmtId="0" fontId="4" fillId="13" borderId="69" xfId="5" applyNumberFormat="1" applyFont="1" applyFill="1" applyBorder="1" applyAlignment="1">
      <alignment horizontal="center" vertical="top" wrapText="1"/>
    </xf>
    <xf numFmtId="0" fontId="4" fillId="13" borderId="69" xfId="3" applyNumberFormat="1" applyFont="1" applyFill="1" applyBorder="1" applyAlignment="1">
      <alignment horizontal="center" vertical="center" wrapText="1"/>
    </xf>
    <xf numFmtId="0" fontId="4" fillId="13" borderId="70" xfId="3" applyNumberFormat="1" applyFont="1" applyFill="1" applyBorder="1" applyAlignment="1">
      <alignment horizontal="center" vertical="center" wrapText="1"/>
    </xf>
    <xf numFmtId="0" fontId="38" fillId="0" borderId="0" xfId="5" applyFont="1" applyBorder="1"/>
    <xf numFmtId="0" fontId="39" fillId="0" borderId="0" xfId="5" applyFont="1"/>
    <xf numFmtId="0" fontId="38" fillId="0" borderId="0" xfId="5" applyFont="1"/>
    <xf numFmtId="0" fontId="37" fillId="0" borderId="0" xfId="5" applyFont="1"/>
    <xf numFmtId="43" fontId="4" fillId="12" borderId="22" xfId="3" applyNumberFormat="1" applyFont="1" applyFill="1" applyBorder="1" applyAlignment="1" applyProtection="1">
      <alignment horizontal="left"/>
      <protection hidden="1"/>
    </xf>
    <xf numFmtId="43" fontId="4" fillId="12" borderId="53" xfId="3" applyNumberFormat="1" applyFont="1" applyFill="1" applyBorder="1" applyAlignment="1" applyProtection="1">
      <alignment horizontal="left"/>
      <protection hidden="1"/>
    </xf>
    <xf numFmtId="43" fontId="4" fillId="12" borderId="31" xfId="3" applyNumberFormat="1" applyFont="1" applyFill="1" applyBorder="1" applyAlignment="1" applyProtection="1">
      <alignment horizontal="left"/>
      <protection hidden="1"/>
    </xf>
    <xf numFmtId="43" fontId="4" fillId="12" borderId="11" xfId="3" applyNumberFormat="1" applyFont="1" applyFill="1" applyBorder="1" applyAlignment="1" applyProtection="1">
      <alignment horizontal="left"/>
      <protection hidden="1"/>
    </xf>
    <xf numFmtId="43" fontId="4" fillId="12" borderId="10" xfId="3" applyNumberFormat="1" applyFont="1" applyFill="1" applyBorder="1" applyAlignment="1" applyProtection="1">
      <alignment horizontal="left"/>
      <protection hidden="1"/>
    </xf>
    <xf numFmtId="43" fontId="4" fillId="12" borderId="30" xfId="3" applyNumberFormat="1" applyFont="1" applyFill="1" applyBorder="1" applyAlignment="1" applyProtection="1">
      <alignment horizontal="left"/>
      <protection hidden="1"/>
    </xf>
    <xf numFmtId="0" fontId="37" fillId="12" borderId="0" xfId="5" applyFont="1" applyFill="1"/>
    <xf numFmtId="0" fontId="37" fillId="19" borderId="68" xfId="5" applyFont="1" applyFill="1" applyBorder="1"/>
    <xf numFmtId="43" fontId="4" fillId="12" borderId="53" xfId="3" applyNumberFormat="1" applyFont="1" applyFill="1" applyBorder="1" applyProtection="1">
      <protection hidden="1"/>
    </xf>
    <xf numFmtId="43" fontId="4" fillId="12" borderId="52" xfId="3" applyNumberFormat="1" applyFont="1" applyFill="1" applyBorder="1" applyProtection="1">
      <protection hidden="1"/>
    </xf>
    <xf numFmtId="43" fontId="4" fillId="12" borderId="10" xfId="3" applyNumberFormat="1" applyFont="1" applyFill="1" applyBorder="1" applyProtection="1">
      <protection hidden="1"/>
    </xf>
    <xf numFmtId="0" fontId="37" fillId="0" borderId="0" xfId="5" applyFont="1" applyAlignment="1">
      <alignment vertical="center"/>
    </xf>
    <xf numFmtId="0" fontId="4" fillId="19" borderId="26" xfId="5" applyFont="1" applyFill="1" applyBorder="1" applyAlignment="1">
      <alignment vertical="center"/>
    </xf>
    <xf numFmtId="0" fontId="4" fillId="19" borderId="26" xfId="5" applyFont="1" applyFill="1" applyBorder="1" applyAlignment="1">
      <alignment horizontal="center" vertical="center"/>
    </xf>
    <xf numFmtId="0" fontId="4" fillId="19" borderId="48" xfId="5" applyFont="1" applyFill="1" applyBorder="1" applyAlignment="1">
      <alignment horizontal="center" vertical="center"/>
    </xf>
    <xf numFmtId="0" fontId="4" fillId="19" borderId="23" xfId="5" applyFont="1" applyFill="1" applyBorder="1" applyAlignment="1">
      <alignment horizontal="center" vertical="center"/>
    </xf>
    <xf numFmtId="0" fontId="4" fillId="19" borderId="71" xfId="5" applyFont="1" applyFill="1" applyBorder="1" applyAlignment="1">
      <alignment horizontal="center" vertical="center"/>
    </xf>
    <xf numFmtId="164" fontId="37" fillId="6" borderId="0" xfId="5" applyNumberFormat="1" applyFont="1" applyFill="1" applyBorder="1" applyAlignment="1" applyProtection="1">
      <alignment horizontal="center" vertical="center"/>
      <protection locked="0"/>
    </xf>
    <xf numFmtId="188" fontId="37" fillId="6" borderId="0" xfId="5" applyNumberFormat="1" applyFont="1" applyFill="1" applyBorder="1" applyAlignment="1" applyProtection="1">
      <alignment horizontal="center" vertical="center"/>
      <protection locked="0"/>
    </xf>
    <xf numFmtId="10" fontId="37" fillId="6" borderId="46" xfId="5" applyNumberFormat="1" applyFont="1" applyFill="1" applyBorder="1" applyAlignment="1" applyProtection="1">
      <alignment horizontal="center" vertical="center"/>
      <protection locked="0"/>
    </xf>
    <xf numFmtId="164" fontId="37" fillId="6" borderId="25" xfId="5" applyNumberFormat="1" applyFont="1" applyFill="1" applyBorder="1" applyAlignment="1" applyProtection="1">
      <alignment horizontal="center" vertical="center"/>
      <protection locked="0"/>
    </xf>
    <xf numFmtId="188" fontId="37" fillId="6" borderId="25" xfId="5" applyNumberFormat="1" applyFont="1" applyFill="1" applyBorder="1" applyAlignment="1" applyProtection="1">
      <alignment horizontal="center" vertical="center"/>
      <protection locked="0"/>
    </xf>
    <xf numFmtId="10" fontId="37" fillId="6" borderId="49" xfId="5" applyNumberFormat="1" applyFont="1" applyFill="1" applyBorder="1" applyAlignment="1" applyProtection="1">
      <alignment horizontal="center" vertical="center"/>
      <protection locked="0"/>
    </xf>
    <xf numFmtId="0" fontId="40" fillId="0" borderId="0" xfId="5" applyFont="1"/>
    <xf numFmtId="0" fontId="36" fillId="0" borderId="0" xfId="5" applyFont="1"/>
    <xf numFmtId="43" fontId="5" fillId="10" borderId="26" xfId="3" applyNumberFormat="1" applyFont="1" applyFill="1" applyBorder="1" applyAlignment="1" applyProtection="1">
      <alignment horizontal="center"/>
      <protection hidden="1"/>
    </xf>
    <xf numFmtId="181" fontId="5" fillId="10" borderId="26" xfId="3" applyNumberFormat="1" applyFont="1" applyFill="1" applyBorder="1" applyAlignment="1" applyProtection="1">
      <alignment horizontal="center"/>
      <protection hidden="1"/>
    </xf>
    <xf numFmtId="164" fontId="5" fillId="10" borderId="26" xfId="3" applyNumberFormat="1" applyFont="1" applyFill="1" applyBorder="1" applyAlignment="1" applyProtection="1">
      <alignment horizontal="center"/>
      <protection hidden="1"/>
    </xf>
    <xf numFmtId="164" fontId="5" fillId="10" borderId="48" xfId="3" applyNumberFormat="1" applyFont="1" applyFill="1" applyBorder="1" applyAlignment="1" applyProtection="1">
      <alignment horizontal="center"/>
      <protection hidden="1"/>
    </xf>
    <xf numFmtId="43" fontId="5" fillId="10" borderId="0" xfId="3" applyNumberFormat="1" applyFont="1" applyFill="1" applyBorder="1" applyAlignment="1" applyProtection="1">
      <alignment horizontal="center"/>
      <protection hidden="1"/>
    </xf>
    <xf numFmtId="181" fontId="5" fillId="10" borderId="0" xfId="3" applyNumberFormat="1" applyFont="1" applyFill="1" applyBorder="1" applyAlignment="1" applyProtection="1">
      <alignment horizontal="center"/>
      <protection hidden="1"/>
    </xf>
    <xf numFmtId="164" fontId="5" fillId="10" borderId="0" xfId="3" applyNumberFormat="1" applyFont="1" applyFill="1" applyBorder="1" applyAlignment="1" applyProtection="1">
      <alignment horizontal="center"/>
      <protection hidden="1"/>
    </xf>
    <xf numFmtId="164" fontId="5" fillId="10" borderId="46" xfId="3" applyNumberFormat="1" applyFont="1" applyFill="1" applyBorder="1" applyAlignment="1" applyProtection="1">
      <alignment horizontal="center"/>
      <protection hidden="1"/>
    </xf>
    <xf numFmtId="0" fontId="20" fillId="0" borderId="45" xfId="5" applyFont="1" applyBorder="1" applyProtection="1">
      <protection hidden="1"/>
    </xf>
    <xf numFmtId="181" fontId="7" fillId="0" borderId="0" xfId="3" applyNumberFormat="1" applyFont="1" applyBorder="1" applyAlignment="1" applyProtection="1">
      <alignment horizontal="center"/>
      <protection hidden="1"/>
    </xf>
    <xf numFmtId="43" fontId="7" fillId="0" borderId="46" xfId="3" applyNumberFormat="1" applyFont="1" applyBorder="1" applyAlignment="1" applyProtection="1">
      <alignment horizontal="left"/>
      <protection hidden="1"/>
    </xf>
    <xf numFmtId="0" fontId="41" fillId="0" borderId="45" xfId="5" applyFont="1" applyBorder="1" applyProtection="1">
      <protection hidden="1"/>
    </xf>
    <xf numFmtId="0" fontId="41" fillId="0" borderId="0" xfId="5" applyFont="1" applyBorder="1" applyAlignment="1" applyProtection="1">
      <alignment horizontal="center"/>
      <protection hidden="1"/>
    </xf>
    <xf numFmtId="0" fontId="5" fillId="13" borderId="72" xfId="5" applyFont="1" applyFill="1" applyBorder="1"/>
    <xf numFmtId="0" fontId="4" fillId="13" borderId="73" xfId="5" applyFont="1" applyFill="1" applyBorder="1" applyAlignment="1">
      <alignment horizontal="right"/>
    </xf>
    <xf numFmtId="164" fontId="4" fillId="13" borderId="73" xfId="5" applyNumberFormat="1" applyFont="1" applyFill="1" applyBorder="1" applyAlignment="1">
      <alignment horizontal="right"/>
    </xf>
    <xf numFmtId="0" fontId="20" fillId="0" borderId="45" xfId="5" applyFont="1" applyBorder="1" applyAlignment="1" applyProtection="1">
      <alignment horizontal="left"/>
      <protection hidden="1"/>
    </xf>
    <xf numFmtId="39" fontId="7" fillId="0" borderId="46" xfId="3" applyNumberFormat="1" applyFont="1" applyBorder="1" applyAlignment="1" applyProtection="1">
      <alignment horizontal="right"/>
      <protection hidden="1"/>
    </xf>
    <xf numFmtId="0" fontId="41" fillId="0" borderId="74" xfId="5" applyFont="1" applyBorder="1" applyProtection="1">
      <protection hidden="1"/>
    </xf>
    <xf numFmtId="0" fontId="41" fillId="0" borderId="23" xfId="5" applyFont="1" applyBorder="1" applyAlignment="1" applyProtection="1">
      <alignment horizontal="center"/>
      <protection hidden="1"/>
    </xf>
    <xf numFmtId="43" fontId="7" fillId="0" borderId="71" xfId="3" applyNumberFormat="1" applyFont="1" applyBorder="1" applyAlignment="1" applyProtection="1">
      <alignment horizontal="left"/>
      <protection hidden="1"/>
    </xf>
    <xf numFmtId="0" fontId="5" fillId="13" borderId="33" xfId="5" applyFont="1" applyFill="1" applyBorder="1"/>
    <xf numFmtId="0" fontId="4" fillId="13" borderId="25" xfId="5" applyFont="1" applyFill="1" applyBorder="1" applyAlignment="1">
      <alignment horizontal="right"/>
    </xf>
    <xf numFmtId="164" fontId="4" fillId="13" borderId="25" xfId="5" applyNumberFormat="1" applyFont="1" applyFill="1" applyBorder="1" applyAlignment="1">
      <alignment horizontal="right"/>
    </xf>
    <xf numFmtId="0" fontId="20" fillId="0" borderId="66" xfId="5" applyFont="1" applyBorder="1" applyProtection="1">
      <protection hidden="1"/>
    </xf>
    <xf numFmtId="181" fontId="7" fillId="0" borderId="39" xfId="3" applyNumberFormat="1" applyFont="1" applyBorder="1" applyAlignment="1" applyProtection="1">
      <alignment horizontal="center" vertical="center"/>
      <protection hidden="1"/>
    </xf>
    <xf numFmtId="43" fontId="7" fillId="0" borderId="67" xfId="3" applyNumberFormat="1" applyFont="1" applyBorder="1" applyAlignment="1" applyProtection="1">
      <alignment horizontal="left"/>
      <protection hidden="1"/>
    </xf>
    <xf numFmtId="0" fontId="20" fillId="0" borderId="74" xfId="5" applyFont="1" applyBorder="1" applyProtection="1">
      <protection hidden="1"/>
    </xf>
    <xf numFmtId="181" fontId="7" fillId="0" borderId="23" xfId="3" applyNumberFormat="1" applyFont="1" applyBorder="1" applyAlignment="1" applyProtection="1">
      <alignment horizontal="center" vertical="center"/>
      <protection hidden="1"/>
    </xf>
    <xf numFmtId="0" fontId="5" fillId="13" borderId="33" xfId="5" applyFont="1" applyFill="1" applyBorder="1" applyProtection="1">
      <protection hidden="1"/>
    </xf>
    <xf numFmtId="181" fontId="7" fillId="0" borderId="39" xfId="3" applyNumberFormat="1" applyFont="1" applyBorder="1" applyAlignment="1" applyProtection="1">
      <alignment horizontal="center"/>
      <protection hidden="1"/>
    </xf>
    <xf numFmtId="0" fontId="7" fillId="0" borderId="45" xfId="5" applyFont="1" applyBorder="1" applyProtection="1">
      <protection hidden="1"/>
    </xf>
    <xf numFmtId="0" fontId="7" fillId="0" borderId="74" xfId="5" applyFont="1" applyBorder="1" applyProtection="1">
      <protection hidden="1"/>
    </xf>
    <xf numFmtId="181" fontId="7" fillId="0" borderId="23" xfId="3" applyNumberFormat="1" applyFont="1" applyBorder="1" applyAlignment="1" applyProtection="1">
      <alignment horizontal="center"/>
      <protection hidden="1"/>
    </xf>
    <xf numFmtId="0" fontId="36" fillId="0" borderId="0" xfId="5" applyFont="1" applyProtection="1">
      <protection hidden="1"/>
    </xf>
    <xf numFmtId="164" fontId="5" fillId="12" borderId="51" xfId="5" applyNumberFormat="1" applyFont="1" applyFill="1" applyBorder="1" applyAlignment="1" applyProtection="1">
      <alignment horizontal="right" vertical="center"/>
      <protection hidden="1"/>
    </xf>
    <xf numFmtId="180" fontId="5" fillId="12" borderId="51" xfId="5" applyNumberFormat="1" applyFont="1" applyFill="1" applyBorder="1" applyAlignment="1" applyProtection="1">
      <alignment horizontal="right" vertical="center"/>
      <protection hidden="1"/>
    </xf>
    <xf numFmtId="180" fontId="42" fillId="0" borderId="51" xfId="5" applyNumberFormat="1" applyFont="1" applyBorder="1" applyAlignment="1">
      <alignment horizontal="right" vertical="center"/>
    </xf>
    <xf numFmtId="180" fontId="36" fillId="0" borderId="51" xfId="5" applyNumberFormat="1" applyFont="1" applyBorder="1" applyAlignment="1">
      <alignment horizontal="right"/>
    </xf>
    <xf numFmtId="180" fontId="5" fillId="12" borderId="56" xfId="5" applyNumberFormat="1" applyFont="1" applyFill="1" applyBorder="1" applyAlignment="1" applyProtection="1">
      <alignment horizontal="right" vertical="center"/>
      <protection hidden="1"/>
    </xf>
    <xf numFmtId="164" fontId="5" fillId="12" borderId="52" xfId="5" applyNumberFormat="1" applyFont="1" applyFill="1" applyBorder="1" applyAlignment="1" applyProtection="1">
      <alignment horizontal="right" vertical="center"/>
      <protection hidden="1"/>
    </xf>
    <xf numFmtId="180" fontId="5" fillId="12" borderId="52" xfId="5" applyNumberFormat="1" applyFont="1" applyFill="1" applyBorder="1" applyAlignment="1" applyProtection="1">
      <alignment horizontal="right" vertical="center"/>
      <protection hidden="1"/>
    </xf>
    <xf numFmtId="180" fontId="42" fillId="0" borderId="52" xfId="5" applyNumberFormat="1" applyFont="1" applyBorder="1" applyAlignment="1">
      <alignment horizontal="right" vertical="center"/>
    </xf>
    <xf numFmtId="180" fontId="36" fillId="0" borderId="8" xfId="5" applyNumberFormat="1" applyFont="1" applyBorder="1" applyAlignment="1">
      <alignment horizontal="right"/>
    </xf>
    <xf numFmtId="180" fontId="5" fillId="12" borderId="40" xfId="5" applyNumberFormat="1" applyFont="1" applyFill="1" applyBorder="1" applyAlignment="1" applyProtection="1">
      <alignment horizontal="right" vertical="center"/>
      <protection hidden="1"/>
    </xf>
    <xf numFmtId="180" fontId="36" fillId="0" borderId="52" xfId="5" applyNumberFormat="1" applyFont="1" applyBorder="1" applyAlignment="1">
      <alignment horizontal="right"/>
    </xf>
    <xf numFmtId="164" fontId="5" fillId="12" borderId="75" xfId="5" applyNumberFormat="1" applyFont="1" applyFill="1" applyBorder="1" applyAlignment="1" applyProtection="1">
      <alignment horizontal="right" vertical="center"/>
      <protection hidden="1"/>
    </xf>
    <xf numFmtId="180" fontId="5" fillId="12" borderId="75" xfId="5" applyNumberFormat="1" applyFont="1" applyFill="1" applyBorder="1" applyAlignment="1" applyProtection="1">
      <alignment horizontal="right" vertical="center"/>
      <protection hidden="1"/>
    </xf>
    <xf numFmtId="180" fontId="36" fillId="0" borderId="76" xfId="5" applyNumberFormat="1" applyFont="1" applyBorder="1" applyAlignment="1">
      <alignment horizontal="right" vertical="center"/>
    </xf>
    <xf numFmtId="0" fontId="5" fillId="0" borderId="0" xfId="5" applyFont="1" applyBorder="1" applyAlignment="1">
      <alignment horizontal="center"/>
    </xf>
    <xf numFmtId="0" fontId="42" fillId="0" borderId="38" xfId="5" applyFont="1" applyBorder="1"/>
    <xf numFmtId="0" fontId="35" fillId="0" borderId="39" xfId="5" applyBorder="1"/>
    <xf numFmtId="0" fontId="37" fillId="0" borderId="39" xfId="5" applyFont="1" applyBorder="1"/>
    <xf numFmtId="0" fontId="6" fillId="0" borderId="39" xfId="5" applyFont="1" applyBorder="1"/>
    <xf numFmtId="0" fontId="37" fillId="0" borderId="18" xfId="5" applyFont="1" applyBorder="1"/>
    <xf numFmtId="0" fontId="42" fillId="0" borderId="51" xfId="5" applyFont="1" applyBorder="1" applyAlignment="1">
      <alignment horizontal="center"/>
    </xf>
    <xf numFmtId="0" fontId="42" fillId="0" borderId="54" xfId="5" applyFont="1" applyBorder="1" applyAlignment="1">
      <alignment horizontal="center"/>
    </xf>
    <xf numFmtId="0" fontId="31" fillId="0" borderId="0" xfId="5" applyFont="1" applyFill="1" applyBorder="1" applyAlignment="1">
      <alignment horizontal="center"/>
    </xf>
    <xf numFmtId="0" fontId="5" fillId="0" borderId="38" xfId="5" applyFont="1" applyFill="1" applyBorder="1"/>
    <xf numFmtId="0" fontId="6" fillId="0" borderId="40" xfId="5" applyFont="1" applyBorder="1"/>
    <xf numFmtId="0" fontId="37" fillId="0" borderId="0" xfId="5" applyFont="1" applyBorder="1"/>
    <xf numFmtId="164" fontId="37" fillId="0" borderId="0" xfId="5" applyNumberFormat="1" applyFont="1" applyFill="1" applyBorder="1"/>
    <xf numFmtId="165" fontId="37" fillId="0" borderId="38" xfId="5" applyNumberFormat="1" applyFont="1" applyBorder="1"/>
    <xf numFmtId="0" fontId="37" fillId="0" borderId="39" xfId="5" applyFont="1" applyBorder="1" applyAlignment="1">
      <alignment horizontal="center"/>
    </xf>
    <xf numFmtId="2" fontId="37" fillId="0" borderId="39" xfId="5" applyNumberFormat="1" applyFont="1" applyBorder="1"/>
    <xf numFmtId="164" fontId="37" fillId="0" borderId="40" xfId="5" applyNumberFormat="1" applyFont="1" applyFill="1" applyBorder="1"/>
    <xf numFmtId="164" fontId="37" fillId="0" borderId="0" xfId="5" applyNumberFormat="1" applyFont="1" applyBorder="1"/>
    <xf numFmtId="164" fontId="37" fillId="0" borderId="40" xfId="5" applyNumberFormat="1" applyFont="1" applyFill="1" applyBorder="1" applyProtection="1">
      <protection locked="0"/>
    </xf>
    <xf numFmtId="164" fontId="37" fillId="0" borderId="22" xfId="5" applyNumberFormat="1" applyFont="1" applyFill="1" applyBorder="1"/>
    <xf numFmtId="0" fontId="35" fillId="12" borderId="0" xfId="5" applyFill="1"/>
    <xf numFmtId="0" fontId="7" fillId="0" borderId="18" xfId="5" applyFont="1" applyBorder="1"/>
    <xf numFmtId="166" fontId="37" fillId="12" borderId="0" xfId="5" applyNumberFormat="1" applyFont="1" applyFill="1" applyBorder="1" applyProtection="1">
      <protection hidden="1"/>
    </xf>
    <xf numFmtId="172" fontId="37" fillId="12" borderId="0" xfId="5" applyNumberFormat="1" applyFont="1" applyFill="1" applyBorder="1" applyProtection="1">
      <protection hidden="1"/>
    </xf>
    <xf numFmtId="205" fontId="37" fillId="12" borderId="18" xfId="5" applyNumberFormat="1" applyFont="1" applyFill="1" applyBorder="1" applyProtection="1">
      <protection hidden="1"/>
    </xf>
    <xf numFmtId="49" fontId="37" fillId="12" borderId="0" xfId="5" applyNumberFormat="1" applyFont="1" applyFill="1" applyBorder="1" applyAlignment="1" applyProtection="1">
      <alignment horizontal="center"/>
      <protection hidden="1"/>
    </xf>
    <xf numFmtId="205" fontId="37" fillId="2" borderId="22" xfId="5" applyNumberFormat="1" applyFont="1" applyFill="1" applyBorder="1" applyProtection="1">
      <protection hidden="1"/>
    </xf>
    <xf numFmtId="4" fontId="37" fillId="12" borderId="0" xfId="5" applyNumberFormat="1" applyFont="1" applyFill="1" applyBorder="1" applyAlignment="1" applyProtection="1">
      <alignment horizontal="right"/>
      <protection hidden="1"/>
    </xf>
    <xf numFmtId="4" fontId="37" fillId="12" borderId="22" xfId="5" applyNumberFormat="1" applyFont="1" applyFill="1" applyBorder="1" applyProtection="1">
      <protection locked="0" hidden="1"/>
    </xf>
    <xf numFmtId="4" fontId="37" fillId="0" borderId="22" xfId="5" applyNumberFormat="1" applyFont="1" applyBorder="1" applyAlignment="1" applyProtection="1">
      <alignment horizontal="right"/>
      <protection hidden="1"/>
    </xf>
    <xf numFmtId="0" fontId="43" fillId="12" borderId="0" xfId="5" applyFont="1" applyFill="1"/>
    <xf numFmtId="0" fontId="43" fillId="0" borderId="0" xfId="5" applyFont="1"/>
    <xf numFmtId="0" fontId="4" fillId="0" borderId="0" xfId="5" applyFont="1" applyBorder="1" applyAlignment="1" applyProtection="1">
      <alignment horizontal="left"/>
      <protection hidden="1"/>
    </xf>
    <xf numFmtId="0" fontId="4" fillId="0" borderId="22" xfId="5" applyFont="1" applyBorder="1" applyAlignment="1" applyProtection="1">
      <alignment horizontal="left"/>
      <protection hidden="1"/>
    </xf>
    <xf numFmtId="166" fontId="37" fillId="12" borderId="0" xfId="5" applyNumberFormat="1" applyFont="1" applyFill="1" applyBorder="1" applyAlignment="1" applyProtection="1">
      <alignment horizontal="right"/>
      <protection hidden="1"/>
    </xf>
    <xf numFmtId="172" fontId="37" fillId="12" borderId="0" xfId="5" applyNumberFormat="1" applyFont="1" applyFill="1" applyBorder="1" applyAlignment="1" applyProtection="1">
      <alignment horizontal="right"/>
      <protection hidden="1"/>
    </xf>
    <xf numFmtId="165" fontId="37" fillId="12" borderId="0" xfId="5" applyNumberFormat="1" applyFont="1" applyFill="1" applyBorder="1" applyAlignment="1" applyProtection="1">
      <alignment horizontal="right"/>
      <protection hidden="1"/>
    </xf>
    <xf numFmtId="0" fontId="37" fillId="12" borderId="18" xfId="5" applyFont="1" applyFill="1" applyBorder="1" applyAlignment="1" applyProtection="1">
      <alignment horizontal="right"/>
      <protection hidden="1"/>
    </xf>
    <xf numFmtId="0" fontId="37" fillId="12" borderId="0" xfId="5" applyFont="1" applyFill="1" applyBorder="1" applyAlignment="1" applyProtection="1">
      <alignment horizontal="center"/>
      <protection hidden="1"/>
    </xf>
    <xf numFmtId="0" fontId="37" fillId="12" borderId="0" xfId="5" applyFont="1" applyFill="1" applyBorder="1" applyAlignment="1" applyProtection="1">
      <alignment horizontal="right"/>
      <protection hidden="1"/>
    </xf>
    <xf numFmtId="165" fontId="37" fillId="12" borderId="22" xfId="5" applyNumberFormat="1" applyFont="1" applyFill="1" applyBorder="1" applyAlignment="1" applyProtection="1">
      <alignment horizontal="right"/>
      <protection hidden="1"/>
    </xf>
    <xf numFmtId="2" fontId="35" fillId="0" borderId="0" xfId="5" applyNumberFormat="1"/>
    <xf numFmtId="166" fontId="37" fillId="12" borderId="0" xfId="5" applyNumberFormat="1" applyFont="1" applyFill="1" applyBorder="1" applyAlignment="1" applyProtection="1">
      <alignment horizontal="right"/>
      <protection locked="0"/>
    </xf>
    <xf numFmtId="164" fontId="37" fillId="12" borderId="18" xfId="5" applyNumberFormat="1" applyFont="1" applyFill="1" applyBorder="1" applyAlignment="1" applyProtection="1">
      <alignment horizontal="right"/>
      <protection hidden="1"/>
    </xf>
    <xf numFmtId="2" fontId="37" fillId="12" borderId="0" xfId="5" applyNumberFormat="1" applyFont="1" applyFill="1" applyBorder="1" applyAlignment="1" applyProtection="1">
      <alignment horizontal="right"/>
      <protection hidden="1"/>
    </xf>
    <xf numFmtId="0" fontId="6" fillId="0" borderId="18" xfId="5" applyFont="1" applyBorder="1"/>
    <xf numFmtId="0" fontId="6" fillId="0" borderId="41" xfId="5" applyFont="1" applyBorder="1"/>
    <xf numFmtId="205" fontId="37" fillId="12" borderId="23" xfId="5" applyNumberFormat="1" applyFont="1" applyFill="1" applyBorder="1" applyAlignment="1" applyProtection="1">
      <alignment horizontal="right"/>
      <protection hidden="1"/>
    </xf>
    <xf numFmtId="4" fontId="37" fillId="12" borderId="23" xfId="5" applyNumberFormat="1" applyFont="1" applyFill="1" applyBorder="1" applyAlignment="1" applyProtection="1">
      <alignment horizontal="right"/>
      <protection hidden="1"/>
    </xf>
    <xf numFmtId="164" fontId="37" fillId="12" borderId="41" xfId="5" applyNumberFormat="1" applyFont="1" applyFill="1" applyBorder="1" applyAlignment="1" applyProtection="1">
      <alignment horizontal="right"/>
      <protection hidden="1"/>
    </xf>
    <xf numFmtId="0" fontId="37" fillId="12" borderId="23" xfId="5" applyFont="1" applyFill="1" applyBorder="1" applyAlignment="1" applyProtection="1">
      <alignment horizontal="center"/>
      <protection hidden="1"/>
    </xf>
    <xf numFmtId="2" fontId="37" fillId="12" borderId="23" xfId="5" applyNumberFormat="1" applyFont="1" applyFill="1" applyBorder="1" applyAlignment="1" applyProtection="1">
      <alignment horizontal="right"/>
      <protection hidden="1"/>
    </xf>
    <xf numFmtId="165" fontId="37" fillId="12" borderId="42" xfId="5" applyNumberFormat="1" applyFont="1" applyFill="1" applyBorder="1" applyAlignment="1" applyProtection="1">
      <alignment horizontal="right"/>
      <protection hidden="1"/>
    </xf>
    <xf numFmtId="0" fontId="5" fillId="12" borderId="55" xfId="5" applyFont="1" applyFill="1" applyBorder="1"/>
    <xf numFmtId="0" fontId="5" fillId="12" borderId="44" xfId="5" applyFont="1" applyFill="1" applyBorder="1"/>
    <xf numFmtId="0" fontId="5" fillId="12" borderId="56" xfId="5" applyFont="1" applyFill="1" applyBorder="1"/>
    <xf numFmtId="166" fontId="42" fillId="12" borderId="44" xfId="5" applyNumberFormat="1" applyFont="1" applyFill="1" applyBorder="1"/>
    <xf numFmtId="4" fontId="42" fillId="20" borderId="44" xfId="5" applyNumberFormat="1" applyFont="1" applyFill="1" applyBorder="1" applyProtection="1">
      <protection hidden="1"/>
    </xf>
    <xf numFmtId="4" fontId="42" fillId="12" borderId="55" xfId="5" applyNumberFormat="1" applyFont="1" applyFill="1" applyBorder="1" applyProtection="1">
      <protection hidden="1"/>
    </xf>
    <xf numFmtId="4" fontId="42" fillId="12" borderId="44" xfId="5" applyNumberFormat="1" applyFont="1" applyFill="1" applyBorder="1" applyAlignment="1" applyProtection="1">
      <alignment horizontal="center"/>
      <protection hidden="1"/>
    </xf>
    <xf numFmtId="4" fontId="42" fillId="12" borderId="44" xfId="5" applyNumberFormat="1" applyFont="1" applyFill="1" applyBorder="1" applyProtection="1">
      <protection hidden="1"/>
    </xf>
    <xf numFmtId="4" fontId="42" fillId="20" borderId="56" xfId="5" applyNumberFormat="1" applyFont="1" applyFill="1" applyBorder="1" applyProtection="1">
      <protection hidden="1"/>
    </xf>
    <xf numFmtId="166" fontId="42" fillId="12" borderId="44" xfId="5" applyNumberFormat="1" applyFont="1" applyFill="1" applyBorder="1" applyProtection="1">
      <protection hidden="1"/>
    </xf>
    <xf numFmtId="164" fontId="6" fillId="12" borderId="0" xfId="5" applyNumberFormat="1" applyFont="1" applyFill="1"/>
    <xf numFmtId="0" fontId="35" fillId="0" borderId="0" xfId="5" applyBorder="1"/>
    <xf numFmtId="0" fontId="3" fillId="0" borderId="18" xfId="5" applyFont="1" applyBorder="1"/>
    <xf numFmtId="0" fontId="4" fillId="0" borderId="0" xfId="5" applyFont="1" applyBorder="1"/>
    <xf numFmtId="0" fontId="4" fillId="0" borderId="22" xfId="5" applyFont="1" applyBorder="1"/>
    <xf numFmtId="164" fontId="37" fillId="0" borderId="18" xfId="5" applyNumberFormat="1" applyFont="1" applyBorder="1"/>
    <xf numFmtId="2" fontId="37" fillId="0" borderId="0" xfId="5" applyNumberFormat="1" applyFont="1" applyBorder="1"/>
    <xf numFmtId="0" fontId="37" fillId="0" borderId="22" xfId="5" applyFont="1" applyFill="1" applyBorder="1"/>
    <xf numFmtId="4" fontId="37" fillId="0" borderId="0" xfId="5" applyNumberFormat="1" applyFont="1" applyBorder="1"/>
    <xf numFmtId="4" fontId="37" fillId="0" borderId="22" xfId="5" applyNumberFormat="1" applyFont="1" applyFill="1" applyBorder="1" applyProtection="1">
      <protection locked="0"/>
    </xf>
    <xf numFmtId="4" fontId="42" fillId="0" borderId="22" xfId="5" applyNumberFormat="1" applyFont="1" applyFill="1" applyBorder="1"/>
    <xf numFmtId="0" fontId="35" fillId="0" borderId="18" xfId="5" applyBorder="1"/>
    <xf numFmtId="0" fontId="4" fillId="0" borderId="0" xfId="5" applyFont="1" applyFill="1" applyBorder="1" applyProtection="1">
      <protection hidden="1"/>
    </xf>
    <xf numFmtId="0" fontId="4" fillId="0" borderId="22" xfId="5" applyFont="1" applyFill="1" applyBorder="1" applyProtection="1">
      <protection hidden="1"/>
    </xf>
    <xf numFmtId="165" fontId="37" fillId="12" borderId="0" xfId="5" applyNumberFormat="1" applyFont="1" applyFill="1" applyBorder="1" applyProtection="1">
      <protection hidden="1"/>
    </xf>
    <xf numFmtId="165" fontId="37" fillId="12" borderId="18" xfId="5" applyNumberFormat="1" applyFont="1" applyFill="1" applyBorder="1" applyProtection="1">
      <protection hidden="1"/>
    </xf>
    <xf numFmtId="2" fontId="37" fillId="12" borderId="0" xfId="5" applyNumberFormat="1" applyFont="1" applyFill="1" applyBorder="1" applyProtection="1">
      <protection hidden="1"/>
    </xf>
    <xf numFmtId="4" fontId="37" fillId="12" borderId="0" xfId="5" applyNumberFormat="1" applyFont="1" applyFill="1" applyBorder="1" applyProtection="1">
      <protection hidden="1"/>
    </xf>
    <xf numFmtId="0" fontId="3" fillId="12" borderId="18" xfId="5" applyFont="1" applyFill="1" applyBorder="1"/>
    <xf numFmtId="0" fontId="4" fillId="12" borderId="0" xfId="5" applyFont="1" applyFill="1" applyBorder="1"/>
    <xf numFmtId="0" fontId="4" fillId="12" borderId="22" xfId="5" applyFont="1" applyFill="1" applyBorder="1"/>
    <xf numFmtId="166" fontId="37" fillId="12" borderId="0" xfId="5" applyNumberFormat="1" applyFont="1" applyFill="1" applyBorder="1"/>
    <xf numFmtId="164" fontId="37" fillId="12" borderId="18" xfId="5" applyNumberFormat="1" applyFont="1" applyFill="1" applyBorder="1"/>
    <xf numFmtId="0" fontId="37" fillId="12" borderId="0" xfId="5" applyFont="1" applyFill="1" applyBorder="1" applyAlignment="1">
      <alignment horizontal="center"/>
    </xf>
    <xf numFmtId="2" fontId="37" fillId="12" borderId="0" xfId="5" applyNumberFormat="1" applyFont="1" applyFill="1" applyBorder="1"/>
    <xf numFmtId="4" fontId="37" fillId="12" borderId="0" xfId="5" applyNumberFormat="1" applyFont="1" applyFill="1" applyBorder="1"/>
    <xf numFmtId="4" fontId="37" fillId="0" borderId="22" xfId="5" applyNumberFormat="1" applyFont="1" applyFill="1" applyBorder="1"/>
    <xf numFmtId="0" fontId="35" fillId="12" borderId="18" xfId="5" applyFill="1" applyBorder="1"/>
    <xf numFmtId="0" fontId="4" fillId="12" borderId="0" xfId="5" applyFont="1" applyFill="1" applyBorder="1" applyProtection="1">
      <protection hidden="1"/>
    </xf>
    <xf numFmtId="0" fontId="4" fillId="12" borderId="22" xfId="5" applyFont="1" applyFill="1" applyBorder="1" applyProtection="1">
      <protection hidden="1"/>
    </xf>
    <xf numFmtId="0" fontId="42" fillId="12" borderId="44" xfId="5" applyFont="1" applyFill="1" applyBorder="1"/>
    <xf numFmtId="4" fontId="42" fillId="20" borderId="23" xfId="5" applyNumberFormat="1" applyFont="1" applyFill="1" applyBorder="1" applyProtection="1">
      <protection hidden="1"/>
    </xf>
    <xf numFmtId="4" fontId="42" fillId="20" borderId="42" xfId="5" applyNumberFormat="1" applyFont="1" applyFill="1" applyBorder="1" applyProtection="1">
      <protection hidden="1"/>
    </xf>
    <xf numFmtId="0" fontId="42" fillId="0" borderId="39" xfId="5" applyFont="1" applyBorder="1"/>
    <xf numFmtId="0" fontId="37" fillId="0" borderId="0" xfId="5" applyFont="1" applyBorder="1" applyProtection="1">
      <protection hidden="1"/>
    </xf>
    <xf numFmtId="0" fontId="4" fillId="0" borderId="39" xfId="5" applyFont="1" applyBorder="1"/>
    <xf numFmtId="0" fontId="5" fillId="0" borderId="54" xfId="5" applyFont="1" applyBorder="1" applyAlignment="1">
      <alignment horizontal="center"/>
    </xf>
    <xf numFmtId="0" fontId="4" fillId="0" borderId="40" xfId="5" applyFont="1" applyBorder="1"/>
    <xf numFmtId="164" fontId="4" fillId="0" borderId="0" xfId="5" applyNumberFormat="1" applyFont="1" applyFill="1" applyBorder="1"/>
    <xf numFmtId="165" fontId="4" fillId="0" borderId="38" xfId="5" applyNumberFormat="1" applyFont="1" applyBorder="1"/>
    <xf numFmtId="0" fontId="4" fillId="0" borderId="39" xfId="5" applyFont="1" applyBorder="1" applyAlignment="1">
      <alignment horizontal="center"/>
    </xf>
    <xf numFmtId="2" fontId="4" fillId="0" borderId="39" xfId="5" applyNumberFormat="1" applyFont="1" applyBorder="1"/>
    <xf numFmtId="164" fontId="4" fillId="0" borderId="40" xfId="5" applyNumberFormat="1" applyFont="1" applyFill="1" applyBorder="1"/>
    <xf numFmtId="164" fontId="4" fillId="0" borderId="0" xfId="5" applyNumberFormat="1" applyFont="1" applyBorder="1"/>
    <xf numFmtId="164" fontId="4" fillId="0" borderId="22" xfId="5" applyNumberFormat="1" applyFont="1" applyFill="1" applyBorder="1"/>
    <xf numFmtId="0" fontId="44" fillId="0" borderId="18" xfId="5" applyFont="1" applyBorder="1"/>
    <xf numFmtId="0" fontId="4" fillId="0" borderId="0" xfId="5" applyFont="1" applyFill="1" applyBorder="1"/>
    <xf numFmtId="0" fontId="4" fillId="0" borderId="22" xfId="5" applyFont="1" applyFill="1" applyBorder="1"/>
    <xf numFmtId="166" fontId="4" fillId="12" borderId="0" xfId="5" applyNumberFormat="1" applyFont="1" applyFill="1" applyBorder="1"/>
    <xf numFmtId="172" fontId="4" fillId="2" borderId="0" xfId="5" applyNumberFormat="1" applyFont="1" applyFill="1" applyBorder="1"/>
    <xf numFmtId="205" fontId="4" fillId="2" borderId="18" xfId="5" applyNumberFormat="1" applyFont="1" applyFill="1" applyBorder="1" applyProtection="1">
      <protection hidden="1"/>
    </xf>
    <xf numFmtId="49" fontId="4" fillId="2" borderId="0" xfId="5" applyNumberFormat="1" applyFont="1" applyFill="1" applyBorder="1" applyAlignment="1" applyProtection="1">
      <alignment horizontal="center"/>
      <protection hidden="1"/>
    </xf>
    <xf numFmtId="4" fontId="4" fillId="12" borderId="22" xfId="5" applyNumberFormat="1" applyFont="1" applyFill="1" applyBorder="1" applyProtection="1">
      <protection hidden="1"/>
    </xf>
    <xf numFmtId="4" fontId="4" fillId="12" borderId="0" xfId="5" applyNumberFormat="1" applyFont="1" applyFill="1" applyBorder="1" applyProtection="1">
      <protection hidden="1"/>
    </xf>
    <xf numFmtId="4" fontId="4" fillId="2" borderId="22" xfId="5" applyNumberFormat="1" applyFont="1" applyFill="1" applyBorder="1"/>
    <xf numFmtId="4" fontId="4" fillId="0" borderId="22" xfId="5" applyNumberFormat="1" applyFont="1" applyFill="1" applyBorder="1"/>
    <xf numFmtId="0" fontId="4" fillId="0" borderId="18" xfId="5" applyFont="1" applyBorder="1"/>
    <xf numFmtId="0" fontId="4" fillId="0" borderId="0" xfId="5" applyFont="1" applyBorder="1" applyAlignment="1" applyProtection="1">
      <alignment horizontal="right"/>
      <protection hidden="1"/>
    </xf>
    <xf numFmtId="0" fontId="4" fillId="0" borderId="22" xfId="5" applyFont="1" applyBorder="1" applyAlignment="1" applyProtection="1">
      <alignment horizontal="right"/>
      <protection hidden="1"/>
    </xf>
    <xf numFmtId="166" fontId="4" fillId="12" borderId="0" xfId="5" applyNumberFormat="1" applyFont="1" applyFill="1" applyBorder="1" applyAlignment="1" applyProtection="1">
      <alignment horizontal="right"/>
      <protection hidden="1"/>
    </xf>
    <xf numFmtId="172" fontId="4" fillId="12" borderId="0" xfId="5" applyNumberFormat="1" applyFont="1" applyFill="1" applyBorder="1" applyAlignment="1" applyProtection="1">
      <alignment horizontal="right"/>
      <protection hidden="1"/>
    </xf>
    <xf numFmtId="165" fontId="4" fillId="12" borderId="0" xfId="5" applyNumberFormat="1" applyFont="1" applyFill="1" applyBorder="1" applyAlignment="1" applyProtection="1">
      <alignment horizontal="right"/>
      <protection hidden="1"/>
    </xf>
    <xf numFmtId="0" fontId="4" fillId="12" borderId="18" xfId="5" applyFont="1" applyFill="1" applyBorder="1" applyAlignment="1" applyProtection="1">
      <alignment horizontal="right"/>
      <protection hidden="1"/>
    </xf>
    <xf numFmtId="0" fontId="4" fillId="12" borderId="0" xfId="5" applyFont="1" applyFill="1" applyBorder="1" applyAlignment="1" applyProtection="1">
      <alignment horizontal="center"/>
      <protection hidden="1"/>
    </xf>
    <xf numFmtId="0" fontId="4" fillId="12" borderId="0" xfId="5" applyFont="1" applyFill="1" applyBorder="1" applyAlignment="1" applyProtection="1">
      <alignment horizontal="right"/>
      <protection hidden="1"/>
    </xf>
    <xf numFmtId="165" fontId="4" fillId="12" borderId="22" xfId="5" applyNumberFormat="1" applyFont="1" applyFill="1" applyBorder="1" applyAlignment="1" applyProtection="1">
      <alignment horizontal="right"/>
      <protection hidden="1"/>
    </xf>
    <xf numFmtId="4" fontId="4" fillId="12" borderId="22" xfId="5" applyNumberFormat="1" applyFont="1" applyFill="1" applyBorder="1" applyAlignment="1" applyProtection="1">
      <alignment horizontal="right"/>
      <protection hidden="1"/>
    </xf>
    <xf numFmtId="4" fontId="4" fillId="0" borderId="22" xfId="5" applyNumberFormat="1" applyFont="1" applyBorder="1" applyAlignment="1" applyProtection="1">
      <alignment horizontal="right"/>
      <protection hidden="1"/>
    </xf>
    <xf numFmtId="4" fontId="37" fillId="12" borderId="22" xfId="5" applyNumberFormat="1" applyFont="1" applyFill="1" applyBorder="1" applyProtection="1">
      <protection hidden="1"/>
    </xf>
    <xf numFmtId="164" fontId="4" fillId="12" borderId="18" xfId="5" applyNumberFormat="1" applyFont="1" applyFill="1" applyBorder="1" applyAlignment="1" applyProtection="1">
      <alignment horizontal="right"/>
      <protection hidden="1"/>
    </xf>
    <xf numFmtId="2" fontId="4" fillId="12" borderId="0" xfId="5" applyNumberFormat="1" applyFont="1" applyFill="1" applyBorder="1" applyAlignment="1" applyProtection="1">
      <alignment horizontal="right"/>
      <protection hidden="1"/>
    </xf>
    <xf numFmtId="166" fontId="5" fillId="12" borderId="44" xfId="5" applyNumberFormat="1" applyFont="1" applyFill="1" applyBorder="1"/>
    <xf numFmtId="4" fontId="5" fillId="20" borderId="44" xfId="5" applyNumberFormat="1" applyFont="1" applyFill="1" applyBorder="1" applyProtection="1">
      <protection hidden="1"/>
    </xf>
    <xf numFmtId="4" fontId="5" fillId="12" borderId="55" xfId="5" applyNumberFormat="1" applyFont="1" applyFill="1" applyBorder="1" applyProtection="1">
      <protection hidden="1"/>
    </xf>
    <xf numFmtId="4" fontId="5" fillId="12" borderId="44" xfId="5" applyNumberFormat="1" applyFont="1" applyFill="1" applyBorder="1" applyAlignment="1" applyProtection="1">
      <alignment horizontal="center"/>
      <protection hidden="1"/>
    </xf>
    <xf numFmtId="4" fontId="5" fillId="12" borderId="44" xfId="5" applyNumberFormat="1" applyFont="1" applyFill="1" applyBorder="1" applyProtection="1">
      <protection hidden="1"/>
    </xf>
    <xf numFmtId="4" fontId="5" fillId="20" borderId="56" xfId="5" applyNumberFormat="1" applyFont="1" applyFill="1" applyBorder="1" applyProtection="1">
      <protection hidden="1"/>
    </xf>
    <xf numFmtId="0" fontId="5" fillId="12" borderId="18" xfId="5" applyFont="1" applyFill="1" applyBorder="1"/>
    <xf numFmtId="164" fontId="4" fillId="12" borderId="18" xfId="5" applyNumberFormat="1" applyFont="1" applyFill="1" applyBorder="1"/>
    <xf numFmtId="2" fontId="4" fillId="12" borderId="0" xfId="5" applyNumberFormat="1" applyFont="1" applyFill="1" applyBorder="1"/>
    <xf numFmtId="0" fontId="4" fillId="12" borderId="18" xfId="5" applyFont="1" applyFill="1" applyBorder="1"/>
    <xf numFmtId="4" fontId="4" fillId="12" borderId="0" xfId="5" applyNumberFormat="1" applyFont="1" applyFill="1" applyBorder="1"/>
    <xf numFmtId="164" fontId="5" fillId="0" borderId="22" xfId="5" applyNumberFormat="1" applyFont="1" applyFill="1" applyBorder="1"/>
    <xf numFmtId="0" fontId="44" fillId="12" borderId="18" xfId="5" applyFont="1" applyFill="1" applyBorder="1"/>
    <xf numFmtId="166" fontId="4" fillId="12" borderId="0" xfId="5" applyNumberFormat="1" applyFont="1" applyFill="1" applyBorder="1" applyProtection="1">
      <protection hidden="1"/>
    </xf>
    <xf numFmtId="165" fontId="4" fillId="12" borderId="0" xfId="5" applyNumberFormat="1" applyFont="1" applyFill="1" applyBorder="1" applyProtection="1">
      <protection hidden="1"/>
    </xf>
    <xf numFmtId="165" fontId="4" fillId="12" borderId="18" xfId="5" applyNumberFormat="1" applyFont="1" applyFill="1" applyBorder="1" applyProtection="1">
      <protection hidden="1"/>
    </xf>
    <xf numFmtId="2" fontId="4" fillId="12" borderId="0" xfId="5" applyNumberFormat="1" applyFont="1" applyFill="1" applyBorder="1" applyProtection="1">
      <protection hidden="1"/>
    </xf>
    <xf numFmtId="0" fontId="4" fillId="12" borderId="0" xfId="5" applyFont="1" applyFill="1" applyBorder="1" applyAlignment="1">
      <alignment horizontal="center"/>
    </xf>
    <xf numFmtId="166" fontId="4" fillId="12" borderId="18" xfId="5" applyNumberFormat="1" applyFont="1" applyFill="1" applyBorder="1"/>
    <xf numFmtId="4" fontId="5" fillId="12" borderId="44" xfId="5" applyNumberFormat="1" applyFont="1" applyFill="1" applyBorder="1"/>
    <xf numFmtId="4" fontId="5" fillId="20" borderId="23" xfId="5" applyNumberFormat="1" applyFont="1" applyFill="1" applyBorder="1" applyProtection="1">
      <protection hidden="1"/>
    </xf>
    <xf numFmtId="4" fontId="5" fillId="12" borderId="41" xfId="5" applyNumberFormat="1" applyFont="1" applyFill="1" applyBorder="1" applyProtection="1">
      <protection hidden="1"/>
    </xf>
    <xf numFmtId="4" fontId="5" fillId="12" borderId="23" xfId="5" applyNumberFormat="1" applyFont="1" applyFill="1" applyBorder="1" applyProtection="1">
      <protection hidden="1"/>
    </xf>
    <xf numFmtId="0" fontId="5" fillId="12" borderId="0" xfId="5" applyFont="1" applyFill="1" applyBorder="1"/>
    <xf numFmtId="164" fontId="5" fillId="12" borderId="0" xfId="5" applyNumberFormat="1" applyFont="1" applyFill="1" applyBorder="1"/>
    <xf numFmtId="2" fontId="5" fillId="12" borderId="0" xfId="5" applyNumberFormat="1" applyFont="1" applyFill="1" applyBorder="1"/>
    <xf numFmtId="0" fontId="5" fillId="0" borderId="0" xfId="5" applyFont="1"/>
    <xf numFmtId="0" fontId="6" fillId="0" borderId="0" xfId="5" applyFont="1"/>
    <xf numFmtId="0" fontId="6" fillId="0" borderId="0" xfId="5" applyFont="1" applyFill="1" applyBorder="1"/>
    <xf numFmtId="0" fontId="5" fillId="0" borderId="38" xfId="5" applyFont="1" applyBorder="1"/>
    <xf numFmtId="0" fontId="5" fillId="0" borderId="39" xfId="5" applyFont="1" applyBorder="1"/>
    <xf numFmtId="0" fontId="4" fillId="0" borderId="41" xfId="5" applyFont="1" applyBorder="1"/>
    <xf numFmtId="0" fontId="5" fillId="0" borderId="51" xfId="5" applyFont="1" applyBorder="1" applyAlignment="1">
      <alignment horizontal="center"/>
    </xf>
    <xf numFmtId="0" fontId="5" fillId="0" borderId="18" xfId="5" applyFont="1" applyFill="1" applyBorder="1"/>
    <xf numFmtId="0" fontId="4" fillId="0" borderId="38" xfId="5" applyFont="1" applyBorder="1"/>
    <xf numFmtId="165" fontId="4" fillId="0" borderId="0" xfId="5" applyNumberFormat="1" applyFont="1" applyBorder="1"/>
    <xf numFmtId="0" fontId="4" fillId="0" borderId="0" xfId="5" applyFont="1" applyBorder="1" applyAlignment="1">
      <alignment horizontal="center"/>
    </xf>
    <xf numFmtId="2" fontId="4" fillId="0" borderId="0" xfId="5" applyNumberFormat="1" applyFont="1" applyBorder="1"/>
    <xf numFmtId="164" fontId="4" fillId="0" borderId="39" xfId="5" applyNumberFormat="1" applyFont="1" applyBorder="1"/>
    <xf numFmtId="0" fontId="45" fillId="0" borderId="18" xfId="5" applyFont="1" applyBorder="1"/>
    <xf numFmtId="166" fontId="4" fillId="12" borderId="18" xfId="5" applyNumberFormat="1" applyFont="1" applyFill="1" applyBorder="1" applyProtection="1">
      <protection hidden="1"/>
    </xf>
    <xf numFmtId="172" fontId="4" fillId="2" borderId="22" xfId="5" applyNumberFormat="1" applyFont="1" applyFill="1" applyBorder="1"/>
    <xf numFmtId="205" fontId="4" fillId="2" borderId="0" xfId="5" applyNumberFormat="1" applyFont="1" applyFill="1" applyBorder="1"/>
    <xf numFmtId="49" fontId="4" fillId="2" borderId="0" xfId="5" applyNumberFormat="1" applyFont="1" applyFill="1" applyBorder="1" applyAlignment="1">
      <alignment horizontal="center"/>
    </xf>
    <xf numFmtId="166" fontId="4" fillId="12" borderId="18" xfId="5" applyNumberFormat="1" applyFont="1" applyFill="1" applyBorder="1" applyAlignment="1" applyProtection="1">
      <alignment horizontal="right"/>
      <protection hidden="1"/>
    </xf>
    <xf numFmtId="0" fontId="43" fillId="0" borderId="0" xfId="5" applyFont="1" applyProtection="1">
      <protection hidden="1"/>
    </xf>
    <xf numFmtId="0" fontId="43" fillId="0" borderId="22" xfId="5" applyFont="1" applyBorder="1"/>
    <xf numFmtId="164" fontId="4" fillId="12" borderId="0" xfId="5" applyNumberFormat="1" applyFont="1" applyFill="1" applyBorder="1" applyAlignment="1" applyProtection="1">
      <alignment horizontal="right"/>
      <protection hidden="1"/>
    </xf>
    <xf numFmtId="4" fontId="4" fillId="12" borderId="0" xfId="5" applyNumberFormat="1" applyFont="1" applyFill="1" applyBorder="1" applyAlignment="1" applyProtection="1">
      <alignment horizontal="right"/>
      <protection hidden="1"/>
    </xf>
    <xf numFmtId="2" fontId="4" fillId="12" borderId="18" xfId="5" applyNumberFormat="1" applyFont="1" applyFill="1" applyBorder="1" applyAlignment="1" applyProtection="1">
      <alignment horizontal="right"/>
      <protection hidden="1"/>
    </xf>
    <xf numFmtId="4" fontId="37" fillId="12" borderId="22" xfId="5" applyNumberFormat="1" applyFont="1" applyFill="1" applyBorder="1" applyAlignment="1" applyProtection="1">
      <alignment horizontal="right"/>
      <protection hidden="1"/>
    </xf>
    <xf numFmtId="2" fontId="4" fillId="12" borderId="18" xfId="5" applyNumberFormat="1" applyFont="1" applyFill="1" applyBorder="1" applyAlignment="1" applyProtection="1">
      <alignment horizontal="right"/>
    </xf>
    <xf numFmtId="166" fontId="5" fillId="12" borderId="55" xfId="5" applyNumberFormat="1" applyFont="1" applyFill="1" applyBorder="1"/>
    <xf numFmtId="164" fontId="4" fillId="12" borderId="0" xfId="5" applyNumberFormat="1" applyFont="1" applyFill="1" applyBorder="1"/>
    <xf numFmtId="0" fontId="45" fillId="12" borderId="18" xfId="5" applyFont="1" applyFill="1" applyBorder="1"/>
    <xf numFmtId="165" fontId="4" fillId="12" borderId="0" xfId="5" applyNumberFormat="1" applyFont="1" applyFill="1" applyBorder="1"/>
    <xf numFmtId="164" fontId="4" fillId="12" borderId="22" xfId="5" applyNumberFormat="1" applyFont="1" applyFill="1" applyBorder="1"/>
    <xf numFmtId="4" fontId="4" fillId="12" borderId="0" xfId="5" applyNumberFormat="1" applyFont="1" applyFill="1" applyBorder="1" applyAlignment="1" applyProtection="1">
      <alignment vertical="center"/>
      <protection hidden="1"/>
    </xf>
    <xf numFmtId="4" fontId="4" fillId="12" borderId="22" xfId="5" applyNumberFormat="1" applyFont="1" applyFill="1" applyBorder="1" applyAlignment="1" applyProtection="1">
      <alignment vertical="center"/>
      <protection hidden="1"/>
    </xf>
    <xf numFmtId="4" fontId="4" fillId="0" borderId="22" xfId="5" applyNumberFormat="1" applyFont="1" applyFill="1" applyBorder="1" applyAlignment="1">
      <alignment vertical="center"/>
    </xf>
    <xf numFmtId="2" fontId="4" fillId="12" borderId="18" xfId="5" applyNumberFormat="1" applyFont="1" applyFill="1" applyBorder="1"/>
    <xf numFmtId="166" fontId="5" fillId="12" borderId="44" xfId="5" applyNumberFormat="1" applyFont="1" applyFill="1" applyBorder="1" applyProtection="1">
      <protection hidden="1"/>
    </xf>
    <xf numFmtId="4" fontId="4" fillId="0" borderId="18" xfId="5" applyNumberFormat="1" applyFont="1" applyFill="1" applyBorder="1"/>
    <xf numFmtId="4" fontId="4" fillId="0" borderId="0" xfId="5" applyNumberFormat="1" applyFont="1" applyBorder="1"/>
    <xf numFmtId="4" fontId="4" fillId="12" borderId="0" xfId="5" applyNumberFormat="1" applyFont="1" applyFill="1" applyBorder="1" applyAlignment="1" applyProtection="1">
      <alignment horizontal="right" vertical="center"/>
      <protection hidden="1"/>
    </xf>
    <xf numFmtId="4" fontId="4" fillId="12" borderId="22" xfId="5" applyNumberFormat="1" applyFont="1" applyFill="1" applyBorder="1" applyAlignment="1" applyProtection="1">
      <alignment horizontal="right" vertical="center"/>
      <protection hidden="1"/>
    </xf>
    <xf numFmtId="4" fontId="4" fillId="0" borderId="22" xfId="5" applyNumberFormat="1" applyFont="1" applyFill="1" applyBorder="1" applyAlignment="1">
      <alignment horizontal="right" vertical="center"/>
    </xf>
    <xf numFmtId="0" fontId="5" fillId="12" borderId="55" xfId="5" applyFont="1" applyFill="1" applyBorder="1" applyProtection="1">
      <protection hidden="1"/>
    </xf>
    <xf numFmtId="0" fontId="5" fillId="12" borderId="44" xfId="5" applyFont="1" applyFill="1" applyBorder="1" applyProtection="1">
      <protection hidden="1"/>
    </xf>
    <xf numFmtId="4" fontId="5" fillId="20" borderId="42" xfId="5" applyNumberFormat="1" applyFont="1" applyFill="1" applyBorder="1" applyProtection="1">
      <protection hidden="1"/>
    </xf>
    <xf numFmtId="0" fontId="2" fillId="0" borderId="0" xfId="5" applyFont="1"/>
    <xf numFmtId="2" fontId="2" fillId="0" borderId="0" xfId="5" applyNumberFormat="1" applyFont="1"/>
    <xf numFmtId="0" fontId="35" fillId="0" borderId="0" xfId="5" applyAlignment="1" applyProtection="1">
      <protection hidden="1"/>
    </xf>
    <xf numFmtId="0" fontId="35" fillId="0" borderId="0" xfId="5" applyAlignment="1" applyProtection="1">
      <alignment horizontal="center"/>
      <protection hidden="1"/>
    </xf>
    <xf numFmtId="0" fontId="42" fillId="0" borderId="52" xfId="5" applyFont="1" applyBorder="1" applyAlignment="1">
      <alignment horizontal="center"/>
    </xf>
    <xf numFmtId="0" fontId="35" fillId="21" borderId="0" xfId="5" applyFill="1" applyAlignment="1" applyProtection="1">
      <alignment horizontal="center"/>
      <protection locked="0"/>
    </xf>
    <xf numFmtId="164" fontId="35" fillId="21" borderId="0" xfId="5" applyNumberFormat="1" applyFill="1" applyAlignment="1" applyProtection="1">
      <alignment horizontal="center"/>
      <protection locked="0"/>
    </xf>
    <xf numFmtId="10" fontId="35" fillId="21" borderId="0" xfId="5" applyNumberFormat="1" applyFill="1" applyAlignment="1" applyProtection="1">
      <alignment horizontal="center"/>
      <protection locked="0"/>
    </xf>
    <xf numFmtId="188" fontId="35" fillId="21" borderId="0" xfId="5" applyNumberFormat="1" applyFill="1" applyAlignment="1" applyProtection="1">
      <alignment horizontal="center"/>
      <protection locked="0"/>
    </xf>
    <xf numFmtId="0" fontId="13" fillId="21" borderId="53" xfId="5" applyFont="1" applyFill="1" applyBorder="1" applyAlignment="1" applyProtection="1">
      <alignment horizontal="center"/>
      <protection locked="0"/>
    </xf>
    <xf numFmtId="181" fontId="4" fillId="21" borderId="53" xfId="3" applyNumberFormat="1" applyFont="1" applyFill="1" applyBorder="1" applyAlignment="1" applyProtection="1">
      <alignment vertical="center"/>
      <protection locked="0"/>
    </xf>
    <xf numFmtId="181" fontId="4" fillId="21" borderId="31" xfId="3" applyNumberFormat="1" applyFont="1" applyFill="1" applyBorder="1" applyAlignment="1" applyProtection="1">
      <alignment vertical="center"/>
      <protection locked="0"/>
    </xf>
    <xf numFmtId="37" fontId="4" fillId="21" borderId="53" xfId="3" applyNumberFormat="1" applyFont="1" applyFill="1" applyBorder="1" applyAlignment="1" applyProtection="1">
      <alignment vertical="center"/>
      <protection locked="0"/>
    </xf>
    <xf numFmtId="37" fontId="4" fillId="21" borderId="10" xfId="3" applyNumberFormat="1" applyFont="1" applyFill="1" applyBorder="1" applyAlignment="1" applyProtection="1">
      <alignment vertical="center"/>
      <protection locked="0"/>
    </xf>
    <xf numFmtId="181" fontId="4" fillId="21" borderId="10" xfId="3" applyNumberFormat="1" applyFont="1" applyFill="1" applyBorder="1" applyAlignment="1" applyProtection="1">
      <alignment vertical="center"/>
      <protection locked="0"/>
    </xf>
    <xf numFmtId="181" fontId="4" fillId="21" borderId="30" xfId="3" applyNumberFormat="1" applyFont="1" applyFill="1" applyBorder="1" applyAlignment="1" applyProtection="1">
      <alignment vertical="center"/>
      <protection locked="0"/>
    </xf>
    <xf numFmtId="0" fontId="5" fillId="11" borderId="77" xfId="3" applyNumberFormat="1" applyFont="1" applyFill="1" applyBorder="1" applyAlignment="1">
      <alignment horizontal="center" vertical="center" wrapText="1"/>
    </xf>
    <xf numFmtId="7" fontId="5" fillId="11" borderId="31" xfId="3" applyNumberFormat="1" applyFont="1" applyFill="1" applyBorder="1" applyProtection="1">
      <protection hidden="1"/>
    </xf>
    <xf numFmtId="7" fontId="5" fillId="11" borderId="30" xfId="3" applyNumberFormat="1" applyFont="1" applyFill="1" applyBorder="1" applyProtection="1">
      <protection hidden="1"/>
    </xf>
    <xf numFmtId="10" fontId="37" fillId="21" borderId="78" xfId="5" applyNumberFormat="1" applyFont="1" applyFill="1" applyBorder="1" applyAlignment="1">
      <alignment horizontal="center" vertical="center"/>
    </xf>
    <xf numFmtId="10" fontId="37" fillId="21" borderId="31" xfId="5" applyNumberFormat="1" applyFont="1" applyFill="1" applyBorder="1" applyAlignment="1">
      <alignment horizontal="center" vertical="center"/>
    </xf>
    <xf numFmtId="10" fontId="37" fillId="21" borderId="30" xfId="5" applyNumberFormat="1" applyFont="1" applyFill="1" applyBorder="1" applyAlignment="1">
      <alignment horizontal="center" vertical="center"/>
    </xf>
    <xf numFmtId="188" fontId="7" fillId="21" borderId="0" xfId="3" applyNumberFormat="1" applyFont="1" applyFill="1" applyBorder="1" applyAlignment="1" applyProtection="1">
      <alignment horizontal="right"/>
      <protection locked="0"/>
    </xf>
    <xf numFmtId="4" fontId="7" fillId="21" borderId="0" xfId="3" applyNumberFormat="1" applyFont="1" applyFill="1" applyBorder="1" applyAlignment="1" applyProtection="1">
      <alignment horizontal="right"/>
      <protection locked="0"/>
    </xf>
    <xf numFmtId="188" fontId="41" fillId="21" borderId="0" xfId="5" applyNumberFormat="1" applyFont="1" applyFill="1" applyBorder="1" applyAlignment="1" applyProtection="1">
      <alignment horizontal="right"/>
      <protection locked="0"/>
    </xf>
    <xf numFmtId="4" fontId="41" fillId="21" borderId="0" xfId="5" applyNumberFormat="1" applyFont="1" applyFill="1" applyBorder="1" applyProtection="1">
      <protection locked="0"/>
    </xf>
    <xf numFmtId="164" fontId="5" fillId="11" borderId="79" xfId="3" applyNumberFormat="1" applyFont="1" applyFill="1" applyBorder="1" applyAlignment="1" applyProtection="1">
      <alignment horizontal="right"/>
      <protection hidden="1"/>
    </xf>
    <xf numFmtId="188" fontId="41" fillId="21" borderId="23" xfId="5" applyNumberFormat="1" applyFont="1" applyFill="1" applyBorder="1" applyAlignment="1" applyProtection="1">
      <alignment horizontal="right"/>
      <protection locked="0"/>
    </xf>
    <xf numFmtId="4" fontId="41" fillId="21" borderId="23" xfId="5" applyNumberFormat="1" applyFont="1" applyFill="1" applyBorder="1" applyProtection="1">
      <protection locked="0"/>
    </xf>
    <xf numFmtId="164" fontId="5" fillId="11" borderId="49" xfId="3" applyNumberFormat="1" applyFont="1" applyFill="1" applyBorder="1" applyAlignment="1" applyProtection="1">
      <alignment horizontal="right"/>
      <protection hidden="1"/>
    </xf>
    <xf numFmtId="189" fontId="7" fillId="21" borderId="39" xfId="3" applyNumberFormat="1" applyFont="1" applyFill="1" applyBorder="1" applyAlignment="1" applyProtection="1">
      <alignment horizontal="left"/>
      <protection locked="0"/>
    </xf>
    <xf numFmtId="4" fontId="7" fillId="21" borderId="39" xfId="3" applyNumberFormat="1" applyFont="1" applyFill="1" applyBorder="1" applyAlignment="1" applyProtection="1">
      <alignment horizontal="right"/>
      <protection locked="0"/>
    </xf>
    <xf numFmtId="189" fontId="7" fillId="21" borderId="0" xfId="3" applyNumberFormat="1" applyFont="1" applyFill="1" applyBorder="1" applyAlignment="1" applyProtection="1">
      <alignment horizontal="left"/>
      <protection locked="0"/>
    </xf>
    <xf numFmtId="189" fontId="7" fillId="21" borderId="23" xfId="3" applyNumberFormat="1" applyFont="1" applyFill="1" applyBorder="1" applyAlignment="1" applyProtection="1">
      <alignment horizontal="left"/>
      <protection locked="0"/>
    </xf>
    <xf numFmtId="4" fontId="7" fillId="21" borderId="23" xfId="3" applyNumberFormat="1" applyFont="1" applyFill="1" applyBorder="1" applyAlignment="1" applyProtection="1">
      <alignment horizontal="right"/>
      <protection locked="0"/>
    </xf>
    <xf numFmtId="192" fontId="7" fillId="21" borderId="39" xfId="3" applyNumberFormat="1" applyFont="1" applyFill="1" applyBorder="1" applyAlignment="1" applyProtection="1">
      <protection locked="0"/>
    </xf>
    <xf numFmtId="192" fontId="7" fillId="21" borderId="0" xfId="3" applyNumberFormat="1" applyFont="1" applyFill="1" applyBorder="1" applyAlignment="1" applyProtection="1">
      <protection locked="0"/>
    </xf>
    <xf numFmtId="4" fontId="7" fillId="21" borderId="0" xfId="5" applyNumberFormat="1" applyFont="1" applyFill="1" applyBorder="1" applyProtection="1">
      <protection locked="0"/>
    </xf>
    <xf numFmtId="192" fontId="7" fillId="21" borderId="0" xfId="5" applyNumberFormat="1" applyFont="1" applyFill="1" applyBorder="1" applyAlignment="1" applyProtection="1">
      <protection locked="0"/>
    </xf>
    <xf numFmtId="4" fontId="7" fillId="21" borderId="0" xfId="5" applyNumberFormat="1" applyFont="1" applyFill="1" applyBorder="1" applyAlignment="1" applyProtection="1">
      <alignment horizontal="right"/>
      <protection locked="0"/>
    </xf>
    <xf numFmtId="192" fontId="7" fillId="21" borderId="23" xfId="5" applyNumberFormat="1" applyFont="1" applyFill="1" applyBorder="1" applyAlignment="1" applyProtection="1">
      <protection locked="0"/>
    </xf>
    <xf numFmtId="4" fontId="7" fillId="21" borderId="23" xfId="5" applyNumberFormat="1" applyFont="1" applyFill="1" applyBorder="1" applyAlignment="1" applyProtection="1">
      <alignment horizontal="right"/>
      <protection locked="0"/>
    </xf>
    <xf numFmtId="0" fontId="36" fillId="22" borderId="52" xfId="5" applyFont="1" applyFill="1" applyBorder="1" applyAlignment="1" applyProtection="1">
      <alignment horizontal="center" vertical="center"/>
      <protection hidden="1"/>
    </xf>
    <xf numFmtId="0" fontId="36" fillId="22" borderId="52" xfId="5" applyFont="1" applyFill="1" applyBorder="1" applyAlignment="1">
      <alignment horizontal="center" vertical="center"/>
    </xf>
    <xf numFmtId="0" fontId="36" fillId="22" borderId="40" xfId="5" applyFont="1" applyFill="1" applyBorder="1" applyAlignment="1" applyProtection="1">
      <alignment horizontal="center" vertical="center"/>
      <protection hidden="1"/>
    </xf>
    <xf numFmtId="0" fontId="36" fillId="22" borderId="0" xfId="5" applyFont="1" applyFill="1" applyAlignment="1">
      <alignment horizontal="center"/>
    </xf>
    <xf numFmtId="0" fontId="36" fillId="22" borderId="54" xfId="5" applyFont="1" applyFill="1" applyBorder="1" applyAlignment="1" applyProtection="1">
      <alignment horizontal="center" vertical="center"/>
      <protection hidden="1"/>
    </xf>
    <xf numFmtId="0" fontId="36" fillId="22" borderId="54" xfId="5" applyFont="1" applyFill="1" applyBorder="1" applyAlignment="1">
      <alignment horizontal="center" vertical="center"/>
    </xf>
    <xf numFmtId="0" fontId="36" fillId="22" borderId="42" xfId="5" applyFont="1" applyFill="1" applyBorder="1" applyAlignment="1" applyProtection="1">
      <alignment horizontal="center" vertical="center"/>
      <protection hidden="1"/>
    </xf>
    <xf numFmtId="0" fontId="36" fillId="22" borderId="53" xfId="5" applyFont="1" applyFill="1" applyBorder="1" applyAlignment="1" applyProtection="1">
      <alignment horizontal="center" vertical="center"/>
      <protection hidden="1"/>
    </xf>
    <xf numFmtId="0" fontId="36" fillId="22" borderId="22" xfId="5" applyFont="1" applyFill="1" applyBorder="1" applyAlignment="1" applyProtection="1">
      <alignment horizontal="center" vertical="center"/>
      <protection hidden="1"/>
    </xf>
    <xf numFmtId="188" fontId="37" fillId="23" borderId="0" xfId="5" applyNumberFormat="1" applyFont="1" applyFill="1" applyBorder="1" applyAlignment="1" applyProtection="1">
      <alignment horizontal="center"/>
      <protection locked="0"/>
    </xf>
    <xf numFmtId="2" fontId="37" fillId="17" borderId="0" xfId="5" applyNumberFormat="1" applyFont="1" applyFill="1" applyBorder="1" applyProtection="1">
      <protection locked="0"/>
    </xf>
    <xf numFmtId="2" fontId="37" fillId="17" borderId="0" xfId="5" applyNumberFormat="1" applyFont="1" applyFill="1" applyBorder="1" applyAlignment="1" applyProtection="1">
      <alignment horizontal="right"/>
      <protection locked="0"/>
    </xf>
    <xf numFmtId="2" fontId="37" fillId="23" borderId="23" xfId="5" applyNumberFormat="1" applyFont="1" applyFill="1" applyBorder="1" applyAlignment="1" applyProtection="1">
      <alignment horizontal="right"/>
      <protection locked="0"/>
    </xf>
    <xf numFmtId="164" fontId="42" fillId="11" borderId="56" xfId="5" applyNumberFormat="1" applyFont="1" applyFill="1" applyBorder="1" applyProtection="1">
      <protection hidden="1"/>
    </xf>
    <xf numFmtId="4" fontId="37" fillId="23" borderId="0" xfId="5" applyNumberFormat="1" applyFont="1" applyFill="1" applyBorder="1" applyProtection="1">
      <protection locked="0"/>
    </xf>
    <xf numFmtId="4" fontId="37" fillId="23" borderId="22" xfId="5" applyNumberFormat="1" applyFont="1" applyFill="1" applyBorder="1" applyProtection="1">
      <protection locked="0"/>
    </xf>
    <xf numFmtId="2" fontId="37" fillId="23" borderId="0" xfId="5" applyNumberFormat="1" applyFont="1" applyFill="1" applyBorder="1" applyProtection="1">
      <protection locked="0"/>
    </xf>
    <xf numFmtId="164" fontId="37" fillId="23" borderId="22" xfId="5" applyNumberFormat="1" applyFont="1" applyFill="1" applyBorder="1" applyProtection="1">
      <protection locked="0"/>
    </xf>
    <xf numFmtId="0" fontId="5" fillId="16" borderId="41" xfId="5" applyFont="1" applyFill="1" applyBorder="1"/>
    <xf numFmtId="0" fontId="5" fillId="16" borderId="23" xfId="5" applyFont="1" applyFill="1" applyBorder="1"/>
    <xf numFmtId="0" fontId="42" fillId="16" borderId="80" xfId="5" applyFont="1" applyFill="1" applyBorder="1"/>
    <xf numFmtId="0" fontId="42" fillId="16" borderId="23" xfId="5" applyFont="1" applyFill="1" applyBorder="1"/>
    <xf numFmtId="4" fontId="42" fillId="16" borderId="41" xfId="5" applyNumberFormat="1" applyFont="1" applyFill="1" applyBorder="1" applyProtection="1">
      <protection hidden="1"/>
    </xf>
    <xf numFmtId="4" fontId="42" fillId="16" borderId="23" xfId="5" applyNumberFormat="1" applyFont="1" applyFill="1" applyBorder="1" applyProtection="1">
      <protection hidden="1"/>
    </xf>
    <xf numFmtId="164" fontId="42" fillId="11" borderId="42" xfId="5" applyNumberFormat="1" applyFont="1" applyFill="1" applyBorder="1" applyProtection="1">
      <protection hidden="1"/>
    </xf>
    <xf numFmtId="188" fontId="37" fillId="17" borderId="0" xfId="5" applyNumberFormat="1" applyFont="1" applyFill="1" applyBorder="1" applyAlignment="1" applyProtection="1">
      <alignment horizontal="center"/>
      <protection hidden="1"/>
    </xf>
    <xf numFmtId="2" fontId="37" fillId="23" borderId="0" xfId="5" applyNumberFormat="1" applyFont="1" applyFill="1" applyBorder="1" applyAlignment="1" applyProtection="1">
      <alignment horizontal="right"/>
      <protection locked="0"/>
    </xf>
    <xf numFmtId="192" fontId="4" fillId="17" borderId="0" xfId="5" applyNumberFormat="1" applyFont="1" applyFill="1" applyBorder="1" applyAlignment="1" applyProtection="1">
      <alignment horizontal="center"/>
      <protection locked="0"/>
    </xf>
    <xf numFmtId="2" fontId="4" fillId="17" borderId="0" xfId="5" applyNumberFormat="1" applyFont="1" applyFill="1" applyBorder="1" applyProtection="1">
      <protection locked="0"/>
    </xf>
    <xf numFmtId="2" fontId="4" fillId="17" borderId="0" xfId="5" applyNumberFormat="1" applyFont="1" applyFill="1" applyBorder="1" applyAlignment="1" applyProtection="1">
      <alignment horizontal="right"/>
      <protection locked="0"/>
    </xf>
    <xf numFmtId="164" fontId="5" fillId="11" borderId="56" xfId="5" applyNumberFormat="1" applyFont="1" applyFill="1" applyBorder="1" applyProtection="1">
      <protection hidden="1"/>
    </xf>
    <xf numFmtId="4" fontId="4" fillId="23" borderId="0" xfId="5" applyNumberFormat="1" applyFont="1" applyFill="1" applyBorder="1" applyProtection="1">
      <protection locked="0"/>
    </xf>
    <xf numFmtId="2" fontId="37" fillId="23" borderId="18" xfId="5" applyNumberFormat="1" applyFont="1" applyFill="1" applyBorder="1" applyProtection="1">
      <protection locked="0"/>
    </xf>
    <xf numFmtId="0" fontId="5" fillId="16" borderId="55" xfId="5" applyFont="1" applyFill="1" applyBorder="1"/>
    <xf numFmtId="4" fontId="5" fillId="16" borderId="23" xfId="5" applyNumberFormat="1" applyFont="1" applyFill="1" applyBorder="1"/>
    <xf numFmtId="4" fontId="5" fillId="16" borderId="41" xfId="5" applyNumberFormat="1" applyFont="1" applyFill="1" applyBorder="1" applyProtection="1">
      <protection hidden="1"/>
    </xf>
    <xf numFmtId="4" fontId="5" fillId="16" borderId="23" xfId="5" applyNumberFormat="1" applyFont="1" applyFill="1" applyBorder="1" applyProtection="1">
      <protection hidden="1"/>
    </xf>
    <xf numFmtId="164" fontId="5" fillId="11" borderId="51" xfId="5" applyNumberFormat="1" applyFont="1" applyFill="1" applyBorder="1" applyProtection="1">
      <protection hidden="1"/>
    </xf>
    <xf numFmtId="188" fontId="4" fillId="17" borderId="0" xfId="5" applyNumberFormat="1" applyFont="1" applyFill="1" applyBorder="1" applyAlignment="1" applyProtection="1">
      <alignment horizontal="center"/>
      <protection locked="0"/>
    </xf>
    <xf numFmtId="2" fontId="4" fillId="17" borderId="18" xfId="5" applyNumberFormat="1" applyFont="1" applyFill="1" applyBorder="1" applyProtection="1">
      <protection locked="0"/>
    </xf>
    <xf numFmtId="2" fontId="4" fillId="17" borderId="18" xfId="5" applyNumberFormat="1" applyFont="1" applyFill="1" applyBorder="1" applyAlignment="1" applyProtection="1">
      <alignment horizontal="right"/>
      <protection locked="0"/>
    </xf>
    <xf numFmtId="4" fontId="4" fillId="17" borderId="18" xfId="5" applyNumberFormat="1" applyFont="1" applyFill="1" applyBorder="1" applyAlignment="1" applyProtection="1">
      <alignment vertical="center"/>
      <protection locked="0"/>
    </xf>
    <xf numFmtId="4" fontId="4" fillId="23" borderId="22" xfId="5" applyNumberFormat="1" applyFont="1" applyFill="1" applyBorder="1" applyProtection="1">
      <protection locked="0"/>
    </xf>
    <xf numFmtId="4" fontId="4" fillId="17" borderId="18" xfId="5" applyNumberFormat="1" applyFont="1" applyFill="1" applyBorder="1" applyProtection="1">
      <protection locked="0"/>
    </xf>
    <xf numFmtId="4" fontId="4" fillId="17" borderId="18" xfId="5" applyNumberFormat="1" applyFont="1" applyFill="1" applyBorder="1" applyAlignment="1" applyProtection="1">
      <alignment horizontal="right" vertical="center"/>
      <protection locked="0"/>
    </xf>
    <xf numFmtId="0" fontId="5" fillId="16" borderId="41" xfId="5" applyFont="1" applyFill="1" applyBorder="1" applyProtection="1">
      <protection hidden="1"/>
    </xf>
    <xf numFmtId="0" fontId="5" fillId="16" borderId="23" xfId="5" applyFont="1" applyFill="1" applyBorder="1" applyProtection="1">
      <protection hidden="1"/>
    </xf>
    <xf numFmtId="164" fontId="5" fillId="11" borderId="42" xfId="5" applyNumberFormat="1" applyFont="1" applyFill="1" applyBorder="1" applyProtection="1">
      <protection hidden="1"/>
    </xf>
    <xf numFmtId="0" fontId="0" fillId="2" borderId="0" xfId="0" applyFont="1"/>
    <xf numFmtId="0" fontId="5" fillId="2" borderId="0" xfId="0" applyFont="1" applyBorder="1" applyAlignment="1">
      <alignment horizontal="center"/>
    </xf>
    <xf numFmtId="3" fontId="0" fillId="17" borderId="0" xfId="0" applyNumberFormat="1" applyFill="1" applyProtection="1">
      <protection locked="0"/>
    </xf>
    <xf numFmtId="191" fontId="0" fillId="17" borderId="0" xfId="0" applyNumberFormat="1" applyFill="1" applyProtection="1">
      <protection locked="0"/>
    </xf>
    <xf numFmtId="164" fontId="0" fillId="17" borderId="0" xfId="0" applyNumberFormat="1" applyFill="1" applyProtection="1">
      <protection locked="0"/>
    </xf>
    <xf numFmtId="165" fontId="0" fillId="17" borderId="0" xfId="0" applyNumberFormat="1" applyFill="1" applyProtection="1">
      <protection locked="0"/>
    </xf>
    <xf numFmtId="10" fontId="0" fillId="17" borderId="0" xfId="0" applyNumberFormat="1" applyFill="1" applyBorder="1" applyAlignment="1" applyProtection="1">
      <alignment horizontal="center"/>
      <protection locked="0"/>
    </xf>
    <xf numFmtId="0" fontId="0" fillId="17" borderId="0" xfId="0" applyNumberFormat="1" applyFill="1" applyBorder="1" applyAlignment="1" applyProtection="1">
      <alignment horizontal="center"/>
      <protection locked="0"/>
    </xf>
    <xf numFmtId="164" fontId="0" fillId="17" borderId="64" xfId="0" applyNumberFormat="1" applyFill="1" applyBorder="1" applyAlignment="1" applyProtection="1">
      <alignment horizontal="center" vertical="center"/>
      <protection locked="0"/>
    </xf>
    <xf numFmtId="164" fontId="0" fillId="17" borderId="53" xfId="0" applyNumberFormat="1" applyFill="1" applyBorder="1" applyAlignment="1" applyProtection="1">
      <alignment horizontal="center" vertical="center"/>
      <protection locked="0"/>
    </xf>
    <xf numFmtId="166" fontId="0" fillId="17" borderId="54" xfId="0" applyNumberFormat="1" applyFill="1" applyBorder="1" applyAlignment="1" applyProtection="1">
      <alignment horizontal="center" vertical="center"/>
      <protection locked="0"/>
    </xf>
    <xf numFmtId="166" fontId="0" fillId="17" borderId="51" xfId="0" applyNumberFormat="1" applyFill="1" applyBorder="1" applyAlignment="1" applyProtection="1">
      <alignment horizontal="center" vertical="center"/>
      <protection locked="0"/>
    </xf>
    <xf numFmtId="10" fontId="0" fillId="17" borderId="54" xfId="0" applyNumberFormat="1" applyFill="1" applyBorder="1" applyAlignment="1" applyProtection="1">
      <alignment horizontal="center" vertical="center"/>
      <protection locked="0"/>
    </xf>
    <xf numFmtId="10" fontId="0" fillId="17" borderId="51" xfId="0" applyNumberFormat="1" applyFill="1" applyBorder="1" applyAlignment="1" applyProtection="1">
      <alignment horizontal="center" vertical="center"/>
      <protection locked="0"/>
    </xf>
    <xf numFmtId="188" fontId="0" fillId="17" borderId="51" xfId="0" applyNumberFormat="1" applyFill="1" applyBorder="1" applyAlignment="1" applyProtection="1">
      <alignment horizontal="center" vertical="center"/>
      <protection locked="0"/>
    </xf>
    <xf numFmtId="0" fontId="5" fillId="2" borderId="25" xfId="0" applyFont="1" applyBorder="1" applyAlignment="1"/>
    <xf numFmtId="3" fontId="5" fillId="2" borderId="25" xfId="0" applyNumberFormat="1" applyFont="1" applyBorder="1" applyAlignment="1">
      <alignment horizontal="center"/>
    </xf>
    <xf numFmtId="0" fontId="0" fillId="2" borderId="26" xfId="0" applyFont="1" applyBorder="1"/>
    <xf numFmtId="0" fontId="5" fillId="2" borderId="25" xfId="0" applyFont="1" applyBorder="1" applyAlignment="1">
      <alignment horizontal="center"/>
    </xf>
    <xf numFmtId="4" fontId="0" fillId="2" borderId="0" xfId="0" applyNumberFormat="1" applyFont="1"/>
    <xf numFmtId="0" fontId="0" fillId="2" borderId="23" xfId="0" applyFont="1" applyBorder="1"/>
    <xf numFmtId="0" fontId="0" fillId="2" borderId="44" xfId="0" applyFont="1" applyBorder="1"/>
    <xf numFmtId="191" fontId="0" fillId="2" borderId="0" xfId="0" applyNumberFormat="1" applyFont="1" applyAlignment="1">
      <alignment horizontal="center"/>
    </xf>
    <xf numFmtId="0" fontId="0" fillId="2" borderId="0" xfId="0" applyFont="1" applyBorder="1"/>
    <xf numFmtId="0" fontId="0" fillId="3" borderId="0" xfId="0" applyFont="1" applyFill="1"/>
    <xf numFmtId="0" fontId="0" fillId="2" borderId="0" xfId="0" applyFont="1" applyBorder="1" applyAlignment="1">
      <alignment horizontal="left"/>
    </xf>
    <xf numFmtId="0" fontId="0" fillId="2" borderId="39" xfId="0" applyFont="1" applyBorder="1"/>
    <xf numFmtId="0" fontId="5" fillId="2" borderId="26" xfId="0" applyFont="1" applyBorder="1" applyAlignment="1">
      <alignment horizontal="center"/>
    </xf>
    <xf numFmtId="0" fontId="0" fillId="2" borderId="0" xfId="0" applyFont="1" applyAlignment="1"/>
    <xf numFmtId="4" fontId="0" fillId="0" borderId="0" xfId="0" applyNumberFormat="1" applyFont="1" applyFill="1" applyBorder="1" applyAlignment="1">
      <alignment horizontal="left"/>
    </xf>
    <xf numFmtId="0" fontId="0" fillId="10" borderId="0" xfId="0" applyFont="1" applyFill="1"/>
    <xf numFmtId="0" fontId="5" fillId="10" borderId="0" xfId="0" applyFont="1" applyFill="1"/>
    <xf numFmtId="0" fontId="0" fillId="12" borderId="0" xfId="0" applyFont="1" applyFill="1"/>
    <xf numFmtId="0" fontId="0" fillId="2" borderId="115" xfId="0" applyFont="1" applyBorder="1"/>
    <xf numFmtId="164" fontId="0" fillId="2" borderId="0" xfId="0" applyNumberFormat="1" applyFont="1"/>
    <xf numFmtId="9" fontId="0" fillId="2" borderId="0" xfId="0" applyNumberFormat="1" applyFont="1"/>
    <xf numFmtId="0" fontId="5" fillId="0" borderId="44" xfId="0" applyFont="1" applyFill="1" applyBorder="1"/>
    <xf numFmtId="0" fontId="0" fillId="0" borderId="0" xfId="0" applyFont="1" applyFill="1" applyBorder="1" applyAlignment="1">
      <alignment horizontal="right"/>
    </xf>
    <xf numFmtId="0" fontId="0" fillId="0" borderId="0" xfId="0" applyNumberFormat="1" applyFont="1" applyFill="1" applyBorder="1" applyAlignment="1">
      <alignment horizontal="left" wrapText="1"/>
    </xf>
    <xf numFmtId="0" fontId="0" fillId="2" borderId="0" xfId="0" applyFont="1" applyBorder="1" applyAlignment="1">
      <alignment horizontal="right"/>
    </xf>
    <xf numFmtId="2" fontId="0" fillId="2" borderId="0" xfId="0" applyNumberFormat="1" applyFont="1" applyBorder="1" applyAlignment="1">
      <alignment horizontal="left"/>
    </xf>
    <xf numFmtId="4" fontId="0" fillId="0" borderId="0" xfId="0" applyNumberFormat="1" applyFont="1" applyFill="1" applyBorder="1" applyAlignment="1">
      <alignment horizontal="right"/>
    </xf>
    <xf numFmtId="0" fontId="0" fillId="3" borderId="0" xfId="0" applyFont="1" applyFill="1" applyBorder="1" applyAlignment="1">
      <alignment horizontal="left"/>
    </xf>
    <xf numFmtId="0" fontId="0" fillId="3" borderId="0" xfId="0" applyFont="1" applyFill="1" applyBorder="1" applyAlignment="1">
      <alignment horizontal="right"/>
    </xf>
    <xf numFmtId="4" fontId="0" fillId="3" borderId="0" xfId="0" applyNumberFormat="1" applyFont="1" applyFill="1" applyBorder="1" applyAlignment="1">
      <alignment horizontal="right"/>
    </xf>
    <xf numFmtId="0" fontId="0" fillId="0" borderId="0" xfId="0" applyFont="1" applyFill="1" applyBorder="1" applyAlignment="1">
      <alignment horizontal="left"/>
    </xf>
    <xf numFmtId="164" fontId="0" fillId="3" borderId="0" xfId="0" applyNumberFormat="1" applyFont="1" applyFill="1" applyBorder="1" applyAlignment="1">
      <alignment horizontal="left"/>
    </xf>
    <xf numFmtId="164" fontId="0" fillId="3" borderId="0" xfId="0" applyNumberFormat="1" applyFont="1" applyFill="1" applyBorder="1" applyAlignment="1">
      <alignment horizontal="right"/>
    </xf>
    <xf numFmtId="4" fontId="0" fillId="10" borderId="0" xfId="0" applyNumberFormat="1" applyFont="1" applyFill="1" applyBorder="1" applyAlignment="1">
      <alignment horizontal="right"/>
    </xf>
    <xf numFmtId="2" fontId="0" fillId="3" borderId="0" xfId="0" applyNumberFormat="1" applyFont="1" applyFill="1" applyBorder="1" applyAlignment="1">
      <alignment horizontal="left"/>
    </xf>
    <xf numFmtId="2" fontId="0" fillId="0" borderId="0" xfId="0" applyNumberFormat="1" applyFont="1" applyFill="1" applyBorder="1" applyAlignment="1">
      <alignment horizontal="left"/>
    </xf>
    <xf numFmtId="0" fontId="0" fillId="0" borderId="0" xfId="0" applyNumberFormat="1" applyFont="1" applyFill="1" applyBorder="1" applyAlignment="1">
      <alignment horizontal="left"/>
    </xf>
    <xf numFmtId="0" fontId="0" fillId="0" borderId="0" xfId="0" applyFont="1" applyFill="1" applyBorder="1"/>
    <xf numFmtId="4" fontId="0" fillId="0" borderId="0" xfId="0" applyNumberFormat="1" applyFont="1" applyFill="1" applyBorder="1"/>
    <xf numFmtId="2" fontId="0" fillId="3" borderId="0" xfId="0" applyNumberFormat="1" applyFont="1" applyFill="1" applyBorder="1" applyAlignment="1">
      <alignment horizontal="right"/>
    </xf>
    <xf numFmtId="2" fontId="0" fillId="0" borderId="0" xfId="0" applyNumberFormat="1" applyFont="1" applyFill="1" applyBorder="1" applyAlignment="1">
      <alignment horizontal="right"/>
    </xf>
    <xf numFmtId="0" fontId="0" fillId="2" borderId="25" xfId="0" applyFont="1" applyBorder="1"/>
    <xf numFmtId="181" fontId="0" fillId="0" borderId="0" xfId="2" applyNumberFormat="1" applyFont="1" applyBorder="1" applyAlignment="1">
      <alignment horizontal="left"/>
    </xf>
    <xf numFmtId="43" fontId="0" fillId="0" borderId="0" xfId="2" applyNumberFormat="1" applyFont="1" applyBorder="1" applyAlignment="1">
      <alignment horizontal="left"/>
    </xf>
    <xf numFmtId="43" fontId="0" fillId="0" borderId="0" xfId="2" applyNumberFormat="1" applyFont="1" applyBorder="1"/>
    <xf numFmtId="0" fontId="5" fillId="2" borderId="115" xfId="0" applyFont="1" applyBorder="1"/>
    <xf numFmtId="181" fontId="0" fillId="0" borderId="115" xfId="2" applyNumberFormat="1" applyFont="1" applyBorder="1" applyAlignment="1">
      <alignment horizontal="left"/>
    </xf>
    <xf numFmtId="43" fontId="0" fillId="0" borderId="115" xfId="2" applyNumberFormat="1" applyFont="1" applyBorder="1" applyAlignment="1">
      <alignment horizontal="left"/>
    </xf>
    <xf numFmtId="43" fontId="0" fillId="0" borderId="115" xfId="2" applyNumberFormat="1" applyFont="1" applyBorder="1"/>
    <xf numFmtId="0" fontId="0" fillId="2" borderId="0" xfId="0" applyFont="1" applyAlignment="1">
      <alignment horizontal="center"/>
    </xf>
    <xf numFmtId="0" fontId="5" fillId="14" borderId="116" xfId="0" applyNumberFormat="1" applyFont="1" applyFill="1" applyBorder="1" applyAlignment="1">
      <alignment vertical="center" wrapText="1"/>
    </xf>
    <xf numFmtId="0" fontId="5" fillId="14" borderId="116" xfId="2" applyNumberFormat="1" applyFont="1" applyFill="1" applyBorder="1" applyAlignment="1">
      <alignment horizontal="center" vertical="center" wrapText="1"/>
    </xf>
    <xf numFmtId="0" fontId="5" fillId="14" borderId="28" xfId="2" applyNumberFormat="1" applyFont="1" applyFill="1" applyBorder="1" applyAlignment="1">
      <alignment horizontal="center" vertical="center" wrapText="1"/>
    </xf>
    <xf numFmtId="0" fontId="5" fillId="14" borderId="117" xfId="2" applyNumberFormat="1" applyFont="1" applyFill="1" applyBorder="1" applyAlignment="1">
      <alignment horizontal="center" vertical="center" wrapText="1"/>
    </xf>
    <xf numFmtId="0" fontId="5" fillId="3" borderId="118" xfId="2" applyNumberFormat="1" applyFont="1" applyFill="1" applyBorder="1" applyAlignment="1">
      <alignment horizontal="center" vertical="center" wrapText="1"/>
    </xf>
    <xf numFmtId="0" fontId="5" fillId="3" borderId="118" xfId="0" applyFont="1" applyFill="1" applyBorder="1" applyAlignment="1">
      <alignment horizontal="center" vertical="center" wrapText="1"/>
    </xf>
    <xf numFmtId="0" fontId="13" fillId="3" borderId="119" xfId="0" applyFont="1" applyFill="1" applyBorder="1"/>
    <xf numFmtId="0" fontId="13" fillId="2" borderId="64" xfId="0" applyFont="1" applyBorder="1" applyAlignment="1">
      <alignment horizontal="center"/>
    </xf>
    <xf numFmtId="43" fontId="0" fillId="0" borderId="64" xfId="2" applyNumberFormat="1" applyFont="1" applyBorder="1" applyAlignment="1">
      <alignment horizontal="left"/>
    </xf>
    <xf numFmtId="43" fontId="0" fillId="0" borderId="65" xfId="2" applyNumberFormat="1" applyFont="1" applyBorder="1" applyAlignment="1">
      <alignment horizontal="left"/>
    </xf>
    <xf numFmtId="43" fontId="0" fillId="0" borderId="19" xfId="2" applyNumberFormat="1" applyFont="1" applyBorder="1" applyAlignment="1">
      <alignment horizontal="left"/>
    </xf>
    <xf numFmtId="43" fontId="0" fillId="0" borderId="45" xfId="2" applyNumberFormat="1" applyFont="1" applyBorder="1" applyAlignment="1">
      <alignment horizontal="left"/>
    </xf>
    <xf numFmtId="43" fontId="0" fillId="0" borderId="64" xfId="2" applyNumberFormat="1" applyFont="1" applyBorder="1"/>
    <xf numFmtId="183" fontId="0" fillId="0" borderId="64" xfId="2" applyNumberFormat="1" applyFont="1" applyBorder="1"/>
    <xf numFmtId="183" fontId="0" fillId="0" borderId="64" xfId="2" applyNumberFormat="1" applyFont="1" applyBorder="1" applyAlignment="1">
      <alignment horizontal="left"/>
    </xf>
    <xf numFmtId="183" fontId="0" fillId="0" borderId="120" xfId="2" applyNumberFormat="1" applyFont="1" applyBorder="1"/>
    <xf numFmtId="196" fontId="0" fillId="2" borderId="64" xfId="0" applyNumberFormat="1" applyFont="1" applyBorder="1"/>
    <xf numFmtId="196" fontId="0" fillId="2" borderId="23" xfId="0" applyNumberFormat="1" applyFont="1" applyBorder="1"/>
    <xf numFmtId="183" fontId="5" fillId="4" borderId="121" xfId="2" applyNumberFormat="1" applyFont="1" applyFill="1" applyBorder="1"/>
    <xf numFmtId="0" fontId="13" fillId="3" borderId="122" xfId="0" applyFont="1" applyFill="1" applyBorder="1"/>
    <xf numFmtId="0" fontId="13" fillId="2" borderId="51" xfId="0" applyFont="1" applyBorder="1" applyAlignment="1">
      <alignment horizontal="center"/>
    </xf>
    <xf numFmtId="43" fontId="0" fillId="0" borderId="51" xfId="2" applyNumberFormat="1" applyFont="1" applyBorder="1" applyAlignment="1">
      <alignment horizontal="left"/>
    </xf>
    <xf numFmtId="43" fontId="0" fillId="0" borderId="53" xfId="2" applyNumberFormat="1" applyFont="1" applyBorder="1" applyAlignment="1">
      <alignment horizontal="left"/>
    </xf>
    <xf numFmtId="43" fontId="0" fillId="0" borderId="100" xfId="2" applyNumberFormat="1" applyFont="1" applyBorder="1" applyAlignment="1">
      <alignment horizontal="left"/>
    </xf>
    <xf numFmtId="43" fontId="0" fillId="0" borderId="95" xfId="2" applyNumberFormat="1" applyFont="1" applyBorder="1" applyAlignment="1">
      <alignment horizontal="left"/>
    </xf>
    <xf numFmtId="43" fontId="0" fillId="0" borderId="51" xfId="2" applyNumberFormat="1" applyFont="1" applyBorder="1"/>
    <xf numFmtId="183" fontId="0" fillId="0" borderId="51" xfId="2" applyNumberFormat="1" applyFont="1" applyBorder="1"/>
    <xf numFmtId="183" fontId="0" fillId="0" borderId="51" xfId="2" applyNumberFormat="1" applyFont="1" applyBorder="1" applyAlignment="1">
      <alignment horizontal="left"/>
    </xf>
    <xf numFmtId="183" fontId="0" fillId="0" borderId="123" xfId="2" applyNumberFormat="1" applyFont="1" applyBorder="1"/>
    <xf numFmtId="196" fontId="0" fillId="2" borderId="51" xfId="0" applyNumberFormat="1" applyFont="1" applyBorder="1"/>
    <xf numFmtId="183" fontId="5" fillId="4" borderId="123" xfId="2" applyNumberFormat="1" applyFont="1" applyFill="1" applyBorder="1"/>
    <xf numFmtId="0" fontId="0" fillId="3" borderId="122" xfId="0" applyFont="1" applyFill="1" applyBorder="1"/>
    <xf numFmtId="0" fontId="8" fillId="2" borderId="51" xfId="0" applyFont="1" applyBorder="1" applyAlignment="1">
      <alignment horizontal="center"/>
    </xf>
    <xf numFmtId="0" fontId="0" fillId="2" borderId="51" xfId="0" applyFont="1" applyBorder="1" applyAlignment="1">
      <alignment horizontal="center"/>
    </xf>
    <xf numFmtId="43" fontId="0" fillId="0" borderId="37" xfId="2" applyNumberFormat="1" applyFont="1" applyBorder="1" applyAlignment="1">
      <alignment horizontal="left"/>
    </xf>
    <xf numFmtId="43" fontId="0" fillId="0" borderId="74" xfId="2" applyNumberFormat="1" applyFont="1" applyBorder="1" applyAlignment="1">
      <alignment horizontal="left"/>
    </xf>
    <xf numFmtId="0" fontId="0" fillId="3" borderId="124" xfId="0" applyFont="1" applyFill="1" applyBorder="1"/>
    <xf numFmtId="0" fontId="0" fillId="3" borderId="125" xfId="0" applyFont="1" applyFill="1" applyBorder="1"/>
    <xf numFmtId="0" fontId="0" fillId="2" borderId="126" xfId="0" applyFont="1" applyBorder="1" applyAlignment="1">
      <alignment horizontal="center"/>
    </xf>
    <xf numFmtId="41" fontId="0" fillId="0" borderId="126" xfId="2" applyNumberFormat="1" applyFont="1" applyBorder="1" applyAlignment="1">
      <alignment horizontal="right"/>
    </xf>
    <xf numFmtId="43" fontId="0" fillId="0" borderId="126" xfId="2" applyNumberFormat="1" applyFont="1" applyBorder="1" applyAlignment="1">
      <alignment horizontal="left"/>
    </xf>
    <xf numFmtId="43" fontId="0" fillId="0" borderId="127" xfId="2" applyNumberFormat="1" applyFont="1" applyBorder="1" applyAlignment="1">
      <alignment horizontal="left"/>
    </xf>
    <xf numFmtId="43" fontId="0" fillId="0" borderId="128" xfId="2" applyNumberFormat="1" applyFont="1" applyBorder="1" applyAlignment="1">
      <alignment horizontal="left"/>
    </xf>
    <xf numFmtId="43" fontId="0" fillId="0" borderId="126" xfId="2" applyNumberFormat="1" applyFont="1" applyBorder="1"/>
    <xf numFmtId="183" fontId="0" fillId="0" borderId="126" xfId="2" applyNumberFormat="1" applyFont="1" applyBorder="1"/>
    <xf numFmtId="183" fontId="0" fillId="0" borderId="126" xfId="2" applyNumberFormat="1" applyFont="1" applyBorder="1" applyAlignment="1">
      <alignment horizontal="left"/>
    </xf>
    <xf numFmtId="183" fontId="0" fillId="0" borderId="129" xfId="2" applyNumberFormat="1" applyFont="1" applyBorder="1"/>
    <xf numFmtId="0" fontId="0" fillId="3" borderId="82" xfId="0" applyFont="1" applyFill="1" applyBorder="1"/>
    <xf numFmtId="196" fontId="0" fillId="2" borderId="8" xfId="0" applyNumberFormat="1" applyFont="1" applyBorder="1"/>
    <xf numFmtId="0" fontId="5" fillId="14" borderId="130" xfId="2" applyNumberFormat="1" applyFont="1" applyFill="1" applyBorder="1" applyAlignment="1">
      <alignment horizontal="center" vertical="center" wrapText="1"/>
    </xf>
    <xf numFmtId="0" fontId="0" fillId="3" borderId="119" xfId="0" applyFont="1" applyFill="1" applyBorder="1"/>
    <xf numFmtId="0" fontId="0" fillId="2" borderId="64" xfId="0" applyFont="1" applyBorder="1" applyAlignment="1">
      <alignment horizontal="center"/>
    </xf>
    <xf numFmtId="181" fontId="0" fillId="0" borderId="64" xfId="2" applyNumberFormat="1" applyFont="1" applyBorder="1" applyAlignment="1">
      <alignment horizontal="left"/>
    </xf>
    <xf numFmtId="0" fontId="0" fillId="3" borderId="64" xfId="0" applyFont="1" applyFill="1" applyBorder="1"/>
    <xf numFmtId="183" fontId="5" fillId="4" borderId="120" xfId="2" applyNumberFormat="1" applyFont="1" applyFill="1" applyBorder="1"/>
    <xf numFmtId="0" fontId="0" fillId="3" borderId="131" xfId="0" applyFont="1" applyFill="1" applyBorder="1"/>
    <xf numFmtId="0" fontId="0" fillId="2" borderId="8" xfId="0" applyFont="1" applyBorder="1" applyAlignment="1">
      <alignment horizontal="center"/>
    </xf>
    <xf numFmtId="181" fontId="0" fillId="0" borderId="8" xfId="2" applyNumberFormat="1" applyFont="1" applyBorder="1" applyAlignment="1">
      <alignment horizontal="left"/>
    </xf>
    <xf numFmtId="43" fontId="0" fillId="0" borderId="8" xfId="2" applyNumberFormat="1" applyFont="1" applyBorder="1" applyAlignment="1">
      <alignment horizontal="left"/>
    </xf>
    <xf numFmtId="43" fontId="0" fillId="0" borderId="8" xfId="2" applyNumberFormat="1" applyFont="1" applyBorder="1"/>
    <xf numFmtId="183" fontId="0" fillId="0" borderId="8" xfId="2" applyNumberFormat="1" applyFont="1" applyBorder="1"/>
    <xf numFmtId="183" fontId="0" fillId="0" borderId="8" xfId="2" applyNumberFormat="1" applyFont="1" applyBorder="1" applyAlignment="1">
      <alignment horizontal="left"/>
    </xf>
    <xf numFmtId="0" fontId="0" fillId="3" borderId="8" xfId="0" applyFont="1" applyFill="1" applyBorder="1"/>
    <xf numFmtId="183" fontId="5" fillId="4" borderId="132" xfId="2" applyNumberFormat="1" applyFont="1" applyFill="1" applyBorder="1"/>
    <xf numFmtId="0" fontId="8" fillId="3" borderId="17" xfId="0" applyFont="1" applyFill="1" applyBorder="1"/>
    <xf numFmtId="0" fontId="8" fillId="2" borderId="53" xfId="0" quotePrefix="1" applyFont="1" applyBorder="1" applyAlignment="1">
      <alignment horizontal="center"/>
    </xf>
    <xf numFmtId="181" fontId="8" fillId="0" borderId="53" xfId="2" applyNumberFormat="1" applyFont="1" applyBorder="1" applyAlignment="1">
      <alignment horizontal="left"/>
    </xf>
    <xf numFmtId="43" fontId="8" fillId="0" borderId="53" xfId="2" applyNumberFormat="1" applyFont="1" applyBorder="1" applyAlignment="1">
      <alignment horizontal="left"/>
    </xf>
    <xf numFmtId="183" fontId="8" fillId="0" borderId="53" xfId="2" applyNumberFormat="1" applyFont="1" applyBorder="1"/>
    <xf numFmtId="183" fontId="8" fillId="0" borderId="53" xfId="2" applyNumberFormat="1" applyFont="1" applyBorder="1" applyAlignment="1">
      <alignment horizontal="left"/>
    </xf>
    <xf numFmtId="0" fontId="8" fillId="3" borderId="59" xfId="0" applyFont="1" applyFill="1" applyBorder="1"/>
    <xf numFmtId="0" fontId="8" fillId="2" borderId="0" xfId="0" quotePrefix="1" applyFont="1" applyBorder="1" applyAlignment="1">
      <alignment horizontal="center"/>
    </xf>
    <xf numFmtId="181" fontId="8" fillId="0" borderId="0" xfId="2" applyNumberFormat="1" applyFont="1" applyBorder="1" applyAlignment="1">
      <alignment horizontal="left"/>
    </xf>
    <xf numFmtId="43" fontId="8" fillId="0" borderId="0" xfId="2" applyNumberFormat="1" applyFont="1" applyBorder="1" applyAlignment="1">
      <alignment horizontal="left"/>
    </xf>
    <xf numFmtId="183" fontId="8" fillId="0" borderId="0" xfId="2" applyNumberFormat="1" applyFont="1" applyBorder="1"/>
    <xf numFmtId="183" fontId="8" fillId="0" borderId="0" xfId="2" applyNumberFormat="1" applyFont="1" applyBorder="1" applyAlignment="1">
      <alignment horizontal="left"/>
    </xf>
    <xf numFmtId="0" fontId="5" fillId="5" borderId="133" xfId="0" applyFont="1" applyFill="1" applyBorder="1"/>
    <xf numFmtId="0" fontId="5" fillId="5" borderId="134" xfId="0" applyFont="1" applyFill="1" applyBorder="1"/>
    <xf numFmtId="181" fontId="5" fillId="5" borderId="135" xfId="2" applyNumberFormat="1" applyFont="1" applyFill="1" applyBorder="1" applyAlignment="1">
      <alignment horizontal="left"/>
    </xf>
    <xf numFmtId="181" fontId="5" fillId="5" borderId="134" xfId="2" applyNumberFormat="1" applyFont="1" applyFill="1" applyBorder="1" applyAlignment="1">
      <alignment horizontal="left"/>
    </xf>
    <xf numFmtId="43" fontId="5" fillId="5" borderId="134" xfId="2" applyNumberFormat="1" applyFont="1" applyFill="1" applyBorder="1" applyAlignment="1">
      <alignment horizontal="left"/>
    </xf>
    <xf numFmtId="0" fontId="0" fillId="2" borderId="136" xfId="0" applyFont="1" applyBorder="1" applyAlignment="1">
      <alignment horizontal="center" vertical="center"/>
    </xf>
    <xf numFmtId="0" fontId="0" fillId="12" borderId="116" xfId="0" applyFont="1" applyFill="1" applyBorder="1" applyAlignment="1">
      <alignment horizontal="center" vertical="center" wrapText="1"/>
    </xf>
    <xf numFmtId="0" fontId="0" fillId="2" borderId="45" xfId="0" applyFont="1" applyBorder="1" applyAlignment="1">
      <alignment horizontal="center" vertical="center" wrapText="1"/>
    </xf>
    <xf numFmtId="0" fontId="0" fillId="19" borderId="137" xfId="0" applyFont="1" applyFill="1" applyBorder="1"/>
    <xf numFmtId="0" fontId="0" fillId="19" borderId="101" xfId="0" applyFont="1" applyFill="1" applyBorder="1"/>
    <xf numFmtId="0" fontId="0" fillId="12" borderId="18" xfId="0" applyFont="1" applyFill="1" applyBorder="1"/>
    <xf numFmtId="0" fontId="0" fillId="0" borderId="0" xfId="0" applyFont="1" applyFill="1"/>
    <xf numFmtId="0" fontId="0" fillId="12" borderId="0" xfId="0" applyFont="1" applyFill="1" applyBorder="1"/>
    <xf numFmtId="0" fontId="0" fillId="12" borderId="0" xfId="0" applyFont="1" applyFill="1" applyAlignment="1">
      <alignment horizontal="center"/>
    </xf>
    <xf numFmtId="41" fontId="4" fillId="25" borderId="64" xfId="2" applyNumberFormat="1" applyFont="1" applyFill="1" applyBorder="1" applyAlignment="1" applyProtection="1">
      <alignment horizontal="right"/>
      <protection locked="0"/>
    </xf>
    <xf numFmtId="41" fontId="4" fillId="25" borderId="51" xfId="2" applyNumberFormat="1" applyFont="1" applyFill="1" applyBorder="1" applyAlignment="1" applyProtection="1">
      <alignment horizontal="right"/>
      <protection locked="0"/>
    </xf>
    <xf numFmtId="3" fontId="4" fillId="25" borderId="64" xfId="2" applyNumberFormat="1" applyFont="1" applyFill="1" applyBorder="1" applyAlignment="1" applyProtection="1">
      <alignment horizontal="right"/>
      <protection locked="0"/>
    </xf>
    <xf numFmtId="181" fontId="4" fillId="25" borderId="8" xfId="2" applyNumberFormat="1" applyFont="1" applyFill="1" applyBorder="1" applyAlignment="1" applyProtection="1">
      <alignment horizontal="left"/>
      <protection locked="0"/>
    </xf>
    <xf numFmtId="8" fontId="0" fillId="25" borderId="42" xfId="0" applyNumberFormat="1" applyFont="1" applyFill="1" applyBorder="1" applyAlignment="1" applyProtection="1">
      <alignment horizontal="center"/>
      <protection locked="0"/>
    </xf>
    <xf numFmtId="164" fontId="0" fillId="25" borderId="56" xfId="0" applyNumberFormat="1" applyFont="1" applyFill="1" applyBorder="1" applyAlignment="1" applyProtection="1">
      <alignment horizontal="center"/>
      <protection locked="0"/>
    </xf>
    <xf numFmtId="181" fontId="4" fillId="25" borderId="64" xfId="2" applyNumberFormat="1" applyFont="1" applyFill="1" applyBorder="1" applyAlignment="1" applyProtection="1">
      <alignment horizontal="left"/>
      <protection locked="0"/>
    </xf>
    <xf numFmtId="181" fontId="4" fillId="25" borderId="51" xfId="2" applyNumberFormat="1" applyFont="1" applyFill="1" applyBorder="1" applyAlignment="1" applyProtection="1">
      <alignment horizontal="left"/>
      <protection locked="0"/>
    </xf>
    <xf numFmtId="0" fontId="0" fillId="25" borderId="51" xfId="0" applyFont="1" applyFill="1" applyBorder="1" applyProtection="1">
      <protection locked="0"/>
    </xf>
    <xf numFmtId="181" fontId="4" fillId="25" borderId="126" xfId="2" applyNumberFormat="1" applyFont="1" applyFill="1" applyBorder="1" applyAlignment="1" applyProtection="1">
      <alignment horizontal="left"/>
      <protection locked="0"/>
    </xf>
    <xf numFmtId="41" fontId="4" fillId="25" borderId="64" xfId="2" applyNumberFormat="1" applyFont="1" applyFill="1" applyBorder="1" applyAlignment="1" applyProtection="1">
      <alignment horizontal="left"/>
      <protection locked="0"/>
    </xf>
    <xf numFmtId="41" fontId="4" fillId="25" borderId="8" xfId="2" applyNumberFormat="1" applyFont="1" applyFill="1" applyBorder="1" applyAlignment="1" applyProtection="1">
      <alignment horizontal="left"/>
      <protection locked="0"/>
    </xf>
    <xf numFmtId="181" fontId="0" fillId="0" borderId="0" xfId="2" applyNumberFormat="1" applyFont="1" applyAlignment="1">
      <alignment horizontal="center"/>
    </xf>
    <xf numFmtId="2" fontId="0" fillId="0" borderId="0" xfId="2" applyNumberFormat="1" applyFont="1" applyAlignment="1">
      <alignment horizontal="right"/>
    </xf>
    <xf numFmtId="0" fontId="5" fillId="5" borderId="58" xfId="0" applyFont="1" applyFill="1" applyBorder="1" applyAlignment="1">
      <alignment horizontal="left"/>
    </xf>
    <xf numFmtId="43" fontId="5" fillId="5" borderId="28" xfId="2" applyNumberFormat="1" applyFont="1" applyFill="1" applyBorder="1" applyAlignment="1">
      <alignment horizontal="center"/>
    </xf>
    <xf numFmtId="181" fontId="5" fillId="5" borderId="28" xfId="2" applyNumberFormat="1" applyFont="1" applyFill="1" applyBorder="1" applyAlignment="1">
      <alignment horizontal="center"/>
    </xf>
    <xf numFmtId="164" fontId="5" fillId="5" borderId="28" xfId="2" applyNumberFormat="1" applyFont="1" applyFill="1" applyBorder="1" applyAlignment="1">
      <alignment horizontal="center"/>
    </xf>
    <xf numFmtId="2" fontId="5" fillId="5" borderId="28" xfId="2" applyNumberFormat="1" applyFont="1" applyFill="1" applyBorder="1" applyAlignment="1">
      <alignment horizontal="center"/>
    </xf>
    <xf numFmtId="2" fontId="5" fillId="5" borderId="81" xfId="0" applyNumberFormat="1" applyFont="1" applyFill="1" applyBorder="1" applyAlignment="1">
      <alignment horizontal="center"/>
    </xf>
    <xf numFmtId="0" fontId="5" fillId="5" borderId="59" xfId="0" applyFont="1" applyFill="1" applyBorder="1" applyAlignment="1">
      <alignment horizontal="left"/>
    </xf>
    <xf numFmtId="43" fontId="5" fillId="5" borderId="0" xfId="2" applyNumberFormat="1" applyFont="1" applyFill="1" applyBorder="1" applyAlignment="1">
      <alignment horizontal="center"/>
    </xf>
    <xf numFmtId="181" fontId="5" fillId="5" borderId="0" xfId="2" applyNumberFormat="1" applyFont="1" applyFill="1" applyBorder="1" applyAlignment="1">
      <alignment horizontal="center"/>
    </xf>
    <xf numFmtId="164" fontId="5" fillId="5" borderId="0" xfId="2" applyNumberFormat="1" applyFont="1" applyFill="1" applyBorder="1" applyAlignment="1">
      <alignment horizontal="center"/>
    </xf>
    <xf numFmtId="2" fontId="5" fillId="5" borderId="0" xfId="2" applyNumberFormat="1" applyFont="1" applyFill="1" applyBorder="1" applyAlignment="1">
      <alignment horizontal="center"/>
    </xf>
    <xf numFmtId="2" fontId="5" fillId="5" borderId="138" xfId="0" applyNumberFormat="1" applyFont="1" applyFill="1" applyBorder="1" applyAlignment="1">
      <alignment horizontal="center"/>
    </xf>
    <xf numFmtId="0" fontId="5" fillId="3" borderId="139" xfId="0" applyFont="1" applyFill="1" applyBorder="1" applyAlignment="1">
      <alignment horizontal="left"/>
    </xf>
    <xf numFmtId="43" fontId="5" fillId="3" borderId="57" xfId="2" applyNumberFormat="1" applyFont="1" applyFill="1" applyBorder="1" applyAlignment="1">
      <alignment horizontal="left"/>
    </xf>
    <xf numFmtId="181" fontId="5" fillId="3" borderId="57" xfId="2" applyNumberFormat="1" applyFont="1" applyFill="1" applyBorder="1" applyAlignment="1">
      <alignment horizontal="center"/>
    </xf>
    <xf numFmtId="164" fontId="5" fillId="3" borderId="57" xfId="2" applyNumberFormat="1" applyFont="1" applyFill="1" applyBorder="1" applyAlignment="1">
      <alignment horizontal="left"/>
    </xf>
    <xf numFmtId="2" fontId="5" fillId="3" borderId="57" xfId="2" applyNumberFormat="1" applyFont="1" applyFill="1" applyBorder="1" applyAlignment="1">
      <alignment horizontal="center"/>
    </xf>
    <xf numFmtId="2" fontId="5" fillId="3" borderId="140" xfId="0" applyNumberFormat="1" applyFont="1" applyFill="1" applyBorder="1" applyAlignment="1">
      <alignment horizontal="center"/>
    </xf>
    <xf numFmtId="0" fontId="21" fillId="5" borderId="139" xfId="0" applyFont="1" applyFill="1" applyBorder="1"/>
    <xf numFmtId="43" fontId="0" fillId="5" borderId="57" xfId="2" applyNumberFormat="1" applyFont="1" applyFill="1" applyBorder="1" applyAlignment="1">
      <alignment horizontal="right"/>
    </xf>
    <xf numFmtId="181" fontId="0" fillId="5" borderId="57" xfId="2" applyNumberFormat="1" applyFont="1" applyFill="1" applyBorder="1" applyAlignment="1">
      <alignment horizontal="right"/>
    </xf>
    <xf numFmtId="164" fontId="0" fillId="5" borderId="57" xfId="2" applyNumberFormat="1" applyFont="1" applyFill="1" applyBorder="1" applyAlignment="1">
      <alignment horizontal="right"/>
    </xf>
    <xf numFmtId="2" fontId="0" fillId="5" borderId="57" xfId="2" applyNumberFormat="1" applyFont="1" applyFill="1" applyBorder="1" applyAlignment="1">
      <alignment horizontal="center"/>
    </xf>
    <xf numFmtId="2" fontId="0" fillId="5" borderId="140" xfId="0" applyNumberFormat="1" applyFont="1" applyFill="1" applyBorder="1" applyAlignment="1">
      <alignment horizontal="center"/>
    </xf>
    <xf numFmtId="0" fontId="0" fillId="2" borderId="59" xfId="0" applyFont="1" applyBorder="1" applyAlignment="1">
      <alignment horizontal="left" vertical="justify" wrapText="1"/>
    </xf>
    <xf numFmtId="43" fontId="4" fillId="25" borderId="0" xfId="2" applyNumberFormat="1" applyFont="1" applyFill="1" applyBorder="1" applyAlignment="1" applyProtection="1">
      <alignment horizontal="right"/>
      <protection locked="0"/>
    </xf>
    <xf numFmtId="181" fontId="0" fillId="0" borderId="0" xfId="2" applyNumberFormat="1" applyFont="1" applyBorder="1" applyAlignment="1">
      <alignment horizontal="center"/>
    </xf>
    <xf numFmtId="164" fontId="4" fillId="25" borderId="0" xfId="2" applyNumberFormat="1" applyFont="1" applyFill="1" applyBorder="1" applyAlignment="1" applyProtection="1">
      <alignment horizontal="right"/>
      <protection locked="0"/>
    </xf>
    <xf numFmtId="164" fontId="0" fillId="0" borderId="0" xfId="2" applyNumberFormat="1" applyFont="1" applyBorder="1" applyAlignment="1">
      <alignment horizontal="right"/>
    </xf>
    <xf numFmtId="2" fontId="0" fillId="0" borderId="0" xfId="2" applyNumberFormat="1" applyFont="1" applyBorder="1" applyAlignment="1">
      <alignment horizontal="center"/>
    </xf>
    <xf numFmtId="2" fontId="0" fillId="2" borderId="138" xfId="0" applyNumberFormat="1" applyFont="1" applyBorder="1" applyAlignment="1">
      <alignment horizontal="center"/>
    </xf>
    <xf numFmtId="0" fontId="21" fillId="3" borderId="139" xfId="0" applyFont="1" applyFill="1" applyBorder="1"/>
    <xf numFmtId="43" fontId="0" fillId="3" borderId="57" xfId="2" applyNumberFormat="1" applyFont="1" applyFill="1" applyBorder="1" applyAlignment="1">
      <alignment horizontal="right"/>
    </xf>
    <xf numFmtId="181" fontId="0" fillId="3" borderId="57" xfId="2" applyNumberFormat="1" applyFont="1" applyFill="1" applyBorder="1" applyAlignment="1">
      <alignment horizontal="center"/>
    </xf>
    <xf numFmtId="164" fontId="0" fillId="3" borderId="57" xfId="2" applyNumberFormat="1" applyFont="1" applyFill="1" applyBorder="1" applyAlignment="1">
      <alignment horizontal="right"/>
    </xf>
    <xf numFmtId="2" fontId="0" fillId="3" borderId="57" xfId="2" applyNumberFormat="1" applyFont="1" applyFill="1" applyBorder="1" applyAlignment="1">
      <alignment horizontal="center"/>
    </xf>
    <xf numFmtId="2" fontId="0" fillId="3" borderId="140" xfId="0" applyNumberFormat="1" applyFont="1" applyFill="1" applyBorder="1" applyAlignment="1">
      <alignment horizontal="center"/>
    </xf>
    <xf numFmtId="181" fontId="0" fillId="5" borderId="57" xfId="2" applyNumberFormat="1" applyFont="1" applyFill="1" applyBorder="1" applyAlignment="1">
      <alignment horizontal="center"/>
    </xf>
    <xf numFmtId="0" fontId="0" fillId="2" borderId="141" xfId="0" applyFont="1" applyBorder="1"/>
    <xf numFmtId="43" fontId="4" fillId="25" borderId="141" xfId="2" applyNumberFormat="1" applyFont="1" applyFill="1" applyBorder="1" applyAlignment="1" applyProtection="1">
      <alignment horizontal="right"/>
      <protection locked="0"/>
    </xf>
    <xf numFmtId="181" fontId="0" fillId="0" borderId="141" xfId="2" applyNumberFormat="1" applyFont="1" applyBorder="1" applyAlignment="1">
      <alignment horizontal="center"/>
    </xf>
    <xf numFmtId="164" fontId="4" fillId="25" borderId="141" xfId="2" applyNumberFormat="1" applyFont="1" applyFill="1" applyBorder="1" applyAlignment="1" applyProtection="1">
      <alignment horizontal="right"/>
      <protection locked="0"/>
    </xf>
    <xf numFmtId="164" fontId="0" fillId="0" borderId="141" xfId="2" applyNumberFormat="1" applyFont="1" applyBorder="1" applyAlignment="1">
      <alignment horizontal="right"/>
    </xf>
    <xf numFmtId="0" fontId="0" fillId="2" borderId="51" xfId="0" applyFont="1" applyBorder="1"/>
    <xf numFmtId="43" fontId="4" fillId="25" borderId="51" xfId="2" applyNumberFormat="1" applyFont="1" applyFill="1" applyBorder="1" applyAlignment="1" applyProtection="1">
      <alignment horizontal="right"/>
      <protection locked="0"/>
    </xf>
    <xf numFmtId="181" fontId="0" fillId="0" borderId="51" xfId="2" applyNumberFormat="1" applyFont="1" applyBorder="1" applyAlignment="1">
      <alignment horizontal="center"/>
    </xf>
    <xf numFmtId="164" fontId="4" fillId="25" borderId="51" xfId="2" applyNumberFormat="1" applyFont="1" applyFill="1" applyBorder="1" applyAlignment="1" applyProtection="1">
      <alignment horizontal="right"/>
      <protection locked="0"/>
    </xf>
    <xf numFmtId="164" fontId="0" fillId="0" borderId="51" xfId="2" applyNumberFormat="1" applyFont="1" applyBorder="1" applyAlignment="1">
      <alignment horizontal="right"/>
    </xf>
    <xf numFmtId="164" fontId="4" fillId="25" borderId="51" xfId="4" applyNumberFormat="1" applyFont="1" applyFill="1" applyBorder="1" applyAlignment="1" applyProtection="1">
      <alignment horizontal="right"/>
      <protection locked="0"/>
    </xf>
    <xf numFmtId="164" fontId="0" fillId="0" borderId="51" xfId="4" applyNumberFormat="1" applyFont="1" applyBorder="1" applyAlignment="1">
      <alignment horizontal="right"/>
    </xf>
    <xf numFmtId="2" fontId="0" fillId="0" borderId="0" xfId="4" applyNumberFormat="1" applyFont="1" applyBorder="1" applyAlignment="1">
      <alignment horizontal="center"/>
    </xf>
    <xf numFmtId="0" fontId="13" fillId="2" borderId="51" xfId="0" applyFont="1" applyBorder="1"/>
    <xf numFmtId="0" fontId="13" fillId="2" borderId="8" xfId="0" applyFont="1" applyBorder="1"/>
    <xf numFmtId="43" fontId="4" fillId="25" borderId="8" xfId="2" applyNumberFormat="1" applyFont="1" applyFill="1" applyBorder="1" applyAlignment="1" applyProtection="1">
      <alignment horizontal="right"/>
      <protection locked="0"/>
    </xf>
    <xf numFmtId="181" fontId="0" fillId="0" borderId="8" xfId="2" applyNumberFormat="1" applyFont="1" applyBorder="1" applyAlignment="1">
      <alignment horizontal="center"/>
    </xf>
    <xf numFmtId="164" fontId="4" fillId="25" borderId="8" xfId="4" applyNumberFormat="1" applyFont="1" applyFill="1" applyBorder="1" applyAlignment="1" applyProtection="1">
      <alignment horizontal="right"/>
      <protection locked="0"/>
    </xf>
    <xf numFmtId="164" fontId="0" fillId="0" borderId="8" xfId="4" applyNumberFormat="1" applyFont="1" applyBorder="1" applyAlignment="1">
      <alignment horizontal="right"/>
    </xf>
    <xf numFmtId="164" fontId="0" fillId="0" borderId="8" xfId="2" applyNumberFormat="1" applyFont="1" applyBorder="1" applyAlignment="1">
      <alignment horizontal="right"/>
    </xf>
    <xf numFmtId="181" fontId="0" fillId="3" borderId="57" xfId="2" applyNumberFormat="1" applyFont="1" applyFill="1" applyBorder="1" applyAlignment="1">
      <alignment horizontal="right"/>
    </xf>
    <xf numFmtId="0" fontId="13" fillId="2" borderId="142" xfId="0" applyFont="1" applyBorder="1"/>
    <xf numFmtId="164" fontId="4" fillId="25" borderId="141" xfId="4" applyNumberFormat="1" applyFont="1" applyFill="1" applyBorder="1" applyAlignment="1" applyProtection="1">
      <alignment horizontal="right"/>
      <protection locked="0"/>
    </xf>
    <xf numFmtId="164" fontId="0" fillId="0" borderId="141" xfId="4" applyNumberFormat="1" applyFont="1" applyBorder="1" applyAlignment="1">
      <alignment horizontal="right"/>
    </xf>
    <xf numFmtId="0" fontId="13" fillId="2" borderId="122" xfId="0" applyFont="1" applyBorder="1"/>
    <xf numFmtId="0" fontId="13" fillId="2" borderId="131" xfId="0" applyFont="1" applyBorder="1"/>
    <xf numFmtId="0" fontId="13" fillId="3" borderId="139" xfId="0" applyFont="1" applyFill="1" applyBorder="1"/>
    <xf numFmtId="0" fontId="0" fillId="0" borderId="142" xfId="0" applyFont="1" applyFill="1" applyBorder="1"/>
    <xf numFmtId="2" fontId="0" fillId="25" borderId="141" xfId="0" applyNumberFormat="1" applyFont="1" applyFill="1" applyBorder="1" applyProtection="1">
      <protection locked="0"/>
    </xf>
    <xf numFmtId="0" fontId="0" fillId="0" borderId="141" xfId="0" applyFont="1" applyFill="1" applyBorder="1" applyAlignment="1">
      <alignment horizontal="center"/>
    </xf>
    <xf numFmtId="165" fontId="0" fillId="25" borderId="141" xfId="0" applyNumberFormat="1" applyFont="1" applyFill="1" applyBorder="1" applyProtection="1">
      <protection locked="0"/>
    </xf>
    <xf numFmtId="2" fontId="0" fillId="0" borderId="141" xfId="0" applyNumberFormat="1" applyFont="1" applyFill="1" applyBorder="1" applyAlignment="1">
      <alignment horizontal="right"/>
    </xf>
    <xf numFmtId="2" fontId="0" fillId="0" borderId="0" xfId="0" applyNumberFormat="1" applyFont="1" applyFill="1" applyBorder="1" applyAlignment="1">
      <alignment horizontal="center"/>
    </xf>
    <xf numFmtId="2" fontId="0" fillId="0" borderId="138" xfId="0" applyNumberFormat="1" applyFont="1" applyFill="1" applyBorder="1" applyAlignment="1">
      <alignment horizontal="center"/>
    </xf>
    <xf numFmtId="0" fontId="0" fillId="0" borderId="122" xfId="0" applyFont="1" applyFill="1" applyBorder="1" applyAlignment="1">
      <alignment horizontal="left"/>
    </xf>
    <xf numFmtId="2" fontId="0" fillId="25" borderId="51" xfId="0" applyNumberFormat="1" applyFont="1" applyFill="1" applyBorder="1" applyAlignment="1" applyProtection="1">
      <alignment horizontal="right"/>
      <protection locked="0"/>
    </xf>
    <xf numFmtId="0" fontId="0" fillId="0" borderId="51" xfId="0" applyFont="1" applyFill="1" applyBorder="1" applyAlignment="1">
      <alignment horizontal="center"/>
    </xf>
    <xf numFmtId="165" fontId="0" fillId="25" borderId="51" xfId="0" applyNumberFormat="1" applyFont="1" applyFill="1" applyBorder="1" applyAlignment="1" applyProtection="1">
      <alignment horizontal="right"/>
      <protection locked="0"/>
    </xf>
    <xf numFmtId="2" fontId="0" fillId="0" borderId="51" xfId="0" applyNumberFormat="1" applyFont="1" applyFill="1" applyBorder="1" applyAlignment="1">
      <alignment horizontal="right"/>
    </xf>
    <xf numFmtId="0" fontId="0" fillId="0" borderId="131" xfId="0" applyFont="1" applyFill="1" applyBorder="1"/>
    <xf numFmtId="4" fontId="0" fillId="25" borderId="8" xfId="0" applyNumberFormat="1" applyFont="1" applyFill="1" applyBorder="1" applyAlignment="1" applyProtection="1">
      <alignment horizontal="right"/>
      <protection locked="0"/>
    </xf>
    <xf numFmtId="0" fontId="0" fillId="0" borderId="8" xfId="0" applyFont="1" applyFill="1" applyBorder="1" applyAlignment="1">
      <alignment horizontal="center"/>
    </xf>
    <xf numFmtId="164" fontId="0" fillId="25" borderId="8" xfId="0" applyNumberFormat="1" applyFont="1" applyFill="1" applyBorder="1" applyAlignment="1" applyProtection="1">
      <alignment horizontal="right"/>
      <protection locked="0"/>
    </xf>
    <xf numFmtId="164" fontId="0" fillId="0" borderId="8" xfId="0" applyNumberFormat="1" applyFont="1" applyFill="1" applyBorder="1" applyAlignment="1">
      <alignment horizontal="right"/>
    </xf>
    <xf numFmtId="164" fontId="0" fillId="5" borderId="57" xfId="4" applyNumberFormat="1" applyFont="1" applyFill="1" applyBorder="1" applyAlignment="1">
      <alignment horizontal="right"/>
    </xf>
    <xf numFmtId="2" fontId="0" fillId="5" borderId="57" xfId="4" applyNumberFormat="1" applyFont="1" applyFill="1" applyBorder="1" applyAlignment="1">
      <alignment horizontal="center"/>
    </xf>
    <xf numFmtId="0" fontId="13" fillId="2" borderId="59" xfId="0" applyFont="1" applyBorder="1"/>
    <xf numFmtId="43" fontId="4" fillId="25" borderId="0" xfId="2" applyNumberFormat="1" applyFont="1" applyFill="1" applyBorder="1" applyAlignment="1">
      <alignment horizontal="right"/>
    </xf>
    <xf numFmtId="164" fontId="4" fillId="25" borderId="0" xfId="4" applyNumberFormat="1" applyFont="1" applyFill="1" applyBorder="1" applyAlignment="1">
      <alignment horizontal="right"/>
    </xf>
    <xf numFmtId="164" fontId="0" fillId="0" borderId="0" xfId="4" applyNumberFormat="1" applyFont="1" applyBorder="1" applyAlignment="1">
      <alignment horizontal="right"/>
    </xf>
    <xf numFmtId="164" fontId="0" fillId="3" borderId="57" xfId="4" applyNumberFormat="1" applyFont="1" applyFill="1" applyBorder="1" applyAlignment="1">
      <alignment horizontal="right"/>
    </xf>
    <xf numFmtId="2" fontId="0" fillId="3" borderId="57" xfId="4" applyNumberFormat="1" applyFont="1" applyFill="1" applyBorder="1" applyAlignment="1">
      <alignment horizontal="center"/>
    </xf>
    <xf numFmtId="0" fontId="0" fillId="0" borderId="142" xfId="0" applyFont="1" applyFill="1" applyBorder="1" applyAlignment="1">
      <alignment horizontal="left"/>
    </xf>
    <xf numFmtId="2" fontId="0" fillId="25" borderId="141" xfId="0" applyNumberFormat="1" applyFont="1" applyFill="1" applyBorder="1" applyAlignment="1" applyProtection="1">
      <alignment horizontal="right"/>
      <protection locked="0"/>
    </xf>
    <xf numFmtId="164" fontId="0" fillId="25" borderId="141" xfId="0" applyNumberFormat="1" applyFont="1" applyFill="1" applyBorder="1" applyAlignment="1" applyProtection="1">
      <alignment horizontal="right"/>
      <protection locked="0"/>
    </xf>
    <xf numFmtId="2" fontId="0" fillId="0" borderId="138" xfId="2" applyNumberFormat="1" applyFont="1" applyBorder="1" applyAlignment="1">
      <alignment horizontal="center"/>
    </xf>
    <xf numFmtId="4" fontId="4" fillId="25" borderId="51" xfId="4" applyNumberFormat="1" applyFont="1" applyFill="1" applyBorder="1" applyAlignment="1" applyProtection="1">
      <alignment horizontal="right"/>
      <protection locked="0"/>
    </xf>
    <xf numFmtId="0" fontId="0" fillId="0" borderId="122" xfId="0" applyFont="1" applyFill="1" applyBorder="1"/>
    <xf numFmtId="4" fontId="0" fillId="25" borderId="51" xfId="0" applyNumberFormat="1" applyFont="1" applyFill="1" applyBorder="1" applyAlignment="1" applyProtection="1">
      <alignment horizontal="right"/>
      <protection locked="0"/>
    </xf>
    <xf numFmtId="164" fontId="0" fillId="25" borderId="51" xfId="0" applyNumberFormat="1" applyFont="1" applyFill="1" applyBorder="1" applyAlignment="1" applyProtection="1">
      <alignment horizontal="right"/>
      <protection locked="0"/>
    </xf>
    <xf numFmtId="164" fontId="0" fillId="0" borderId="51" xfId="0" applyNumberFormat="1" applyFont="1" applyFill="1" applyBorder="1" applyAlignment="1">
      <alignment horizontal="right"/>
    </xf>
    <xf numFmtId="0" fontId="21" fillId="5" borderId="25" xfId="0" applyFont="1" applyFill="1" applyBorder="1"/>
    <xf numFmtId="43" fontId="0" fillId="5" borderId="25" xfId="2" applyNumberFormat="1" applyFont="1" applyFill="1" applyBorder="1" applyAlignment="1">
      <alignment horizontal="right"/>
    </xf>
    <xf numFmtId="181" fontId="0" fillId="5" borderId="25" xfId="2" applyNumberFormat="1" applyFont="1" applyFill="1" applyBorder="1" applyAlignment="1">
      <alignment horizontal="right"/>
    </xf>
    <xf numFmtId="164" fontId="0" fillId="5" borderId="25" xfId="2" applyNumberFormat="1" applyFont="1" applyFill="1" applyBorder="1" applyAlignment="1">
      <alignment horizontal="right"/>
    </xf>
    <xf numFmtId="2" fontId="0" fillId="5" borderId="0" xfId="2" applyNumberFormat="1" applyFont="1" applyFill="1" applyBorder="1" applyAlignment="1">
      <alignment horizontal="center"/>
    </xf>
    <xf numFmtId="2" fontId="0" fillId="5" borderId="26" xfId="2" applyNumberFormat="1" applyFont="1" applyFill="1" applyBorder="1" applyAlignment="1">
      <alignment horizontal="center"/>
    </xf>
    <xf numFmtId="2" fontId="0" fillId="5" borderId="143" xfId="0" applyNumberFormat="1" applyFont="1" applyFill="1" applyBorder="1" applyAlignment="1">
      <alignment horizontal="center"/>
    </xf>
    <xf numFmtId="0" fontId="37" fillId="0" borderId="54" xfId="5" applyFont="1" applyBorder="1"/>
    <xf numFmtId="0" fontId="37" fillId="0" borderId="54" xfId="5" applyFont="1" applyBorder="1" applyAlignment="1">
      <alignment horizontal="center"/>
    </xf>
    <xf numFmtId="164" fontId="37" fillId="0" borderId="54" xfId="5" applyNumberFormat="1" applyFont="1" applyBorder="1"/>
    <xf numFmtId="7" fontId="0" fillId="0" borderId="54" xfId="2" applyNumberFormat="1" applyFont="1" applyBorder="1" applyAlignment="1">
      <alignment horizontal="right"/>
    </xf>
    <xf numFmtId="2" fontId="0" fillId="0" borderId="18" xfId="2" applyNumberFormat="1" applyFont="1" applyBorder="1" applyAlignment="1">
      <alignment horizontal="center"/>
    </xf>
    <xf numFmtId="0" fontId="37" fillId="0" borderId="51" xfId="5" applyFont="1" applyBorder="1"/>
    <xf numFmtId="0" fontId="37" fillId="0" borderId="51" xfId="5" applyFont="1" applyBorder="1" applyAlignment="1">
      <alignment horizontal="center"/>
    </xf>
    <xf numFmtId="164" fontId="37" fillId="0" borderId="51" xfId="5" applyNumberFormat="1" applyFont="1" applyBorder="1"/>
    <xf numFmtId="7" fontId="0" fillId="0" borderId="51" xfId="2" applyNumberFormat="1" applyFont="1" applyBorder="1" applyAlignment="1">
      <alignment horizontal="right"/>
    </xf>
    <xf numFmtId="0" fontId="37" fillId="0" borderId="52" xfId="5" applyFont="1" applyBorder="1"/>
    <xf numFmtId="0" fontId="37" fillId="0" borderId="52" xfId="5" applyFont="1" applyBorder="1" applyAlignment="1">
      <alignment horizontal="center"/>
    </xf>
    <xf numFmtId="164" fontId="37" fillId="0" borderId="52" xfId="5" applyNumberFormat="1" applyFont="1" applyBorder="1"/>
    <xf numFmtId="7" fontId="0" fillId="0" borderId="52" xfId="2" applyNumberFormat="1" applyFont="1" applyBorder="1" applyAlignment="1">
      <alignment horizontal="right"/>
    </xf>
    <xf numFmtId="0" fontId="5" fillId="3" borderId="139" xfId="0" applyFont="1" applyFill="1" applyBorder="1"/>
    <xf numFmtId="0" fontId="0" fillId="3" borderId="57" xfId="0" applyFont="1" applyFill="1" applyBorder="1" applyAlignment="1">
      <alignment horizontal="right"/>
    </xf>
    <xf numFmtId="164" fontId="0" fillId="3" borderId="57" xfId="0" applyNumberFormat="1" applyFont="1" applyFill="1" applyBorder="1" applyAlignment="1">
      <alignment horizontal="right"/>
    </xf>
    <xf numFmtId="0" fontId="13" fillId="0" borderId="142" xfId="0" applyFont="1" applyFill="1" applyBorder="1"/>
    <xf numFmtId="181" fontId="0" fillId="0" borderId="141" xfId="2" applyNumberFormat="1" applyFont="1" applyFill="1" applyBorder="1" applyAlignment="1">
      <alignment horizontal="center"/>
    </xf>
    <xf numFmtId="164" fontId="0" fillId="0" borderId="141" xfId="2" applyNumberFormat="1" applyFont="1" applyFill="1" applyBorder="1" applyAlignment="1">
      <alignment horizontal="right"/>
    </xf>
    <xf numFmtId="2" fontId="0" fillId="0" borderId="0" xfId="2" applyNumberFormat="1" applyFont="1" applyFill="1" applyBorder="1" applyAlignment="1">
      <alignment horizontal="center"/>
    </xf>
    <xf numFmtId="0" fontId="13" fillId="2" borderId="122" xfId="0" applyFont="1" applyBorder="1" applyAlignment="1">
      <alignment horizontal="left"/>
    </xf>
    <xf numFmtId="164" fontId="0" fillId="0" borderId="51" xfId="2" applyNumberFormat="1" applyFont="1" applyFill="1" applyBorder="1" applyAlignment="1">
      <alignment horizontal="right"/>
    </xf>
    <xf numFmtId="2" fontId="0" fillId="2" borderId="0" xfId="0" applyNumberFormat="1" applyFont="1" applyBorder="1" applyAlignment="1">
      <alignment horizontal="center"/>
    </xf>
    <xf numFmtId="0" fontId="13" fillId="2" borderId="131" xfId="0" applyFont="1" applyBorder="1" applyAlignment="1">
      <alignment horizontal="left"/>
    </xf>
    <xf numFmtId="164" fontId="0" fillId="0" borderId="8" xfId="2" applyNumberFormat="1" applyFont="1" applyFill="1" applyBorder="1" applyAlignment="1">
      <alignment horizontal="right"/>
    </xf>
    <xf numFmtId="43" fontId="4" fillId="15" borderId="0" xfId="2" applyNumberFormat="1" applyFont="1" applyFill="1" applyBorder="1" applyAlignment="1">
      <alignment horizontal="right"/>
    </xf>
    <xf numFmtId="181" fontId="4" fillId="15" borderId="0" xfId="2" applyNumberFormat="1" applyFont="1" applyFill="1" applyBorder="1" applyAlignment="1">
      <alignment horizontal="center" vertical="center"/>
    </xf>
    <xf numFmtId="164" fontId="4" fillId="15" borderId="0" xfId="2" applyNumberFormat="1" applyFont="1" applyFill="1" applyBorder="1" applyAlignment="1">
      <alignment horizontal="right"/>
    </xf>
    <xf numFmtId="2" fontId="4" fillId="12" borderId="0" xfId="2" applyNumberFormat="1" applyFont="1" applyFill="1" applyBorder="1" applyAlignment="1">
      <alignment horizontal="center"/>
    </xf>
    <xf numFmtId="2" fontId="0" fillId="12" borderId="138" xfId="0" applyNumberFormat="1" applyFont="1" applyFill="1" applyBorder="1" applyAlignment="1">
      <alignment horizontal="center"/>
    </xf>
    <xf numFmtId="0" fontId="13" fillId="12" borderId="142" xfId="0" applyFont="1" applyFill="1" applyBorder="1"/>
    <xf numFmtId="43" fontId="4" fillId="12" borderId="141" xfId="2" applyNumberFormat="1" applyFont="1" applyFill="1" applyBorder="1" applyAlignment="1">
      <alignment horizontal="right"/>
    </xf>
    <xf numFmtId="181" fontId="4" fillId="12" borderId="141" xfId="2" applyNumberFormat="1" applyFont="1" applyFill="1" applyBorder="1" applyAlignment="1">
      <alignment horizontal="center" vertical="center"/>
    </xf>
    <xf numFmtId="164" fontId="4" fillId="12" borderId="141" xfId="2" applyNumberFormat="1" applyFont="1" applyFill="1" applyBorder="1" applyAlignment="1">
      <alignment horizontal="right"/>
    </xf>
    <xf numFmtId="0" fontId="13" fillId="12" borderId="122" xfId="0" applyFont="1" applyFill="1" applyBorder="1"/>
    <xf numFmtId="43" fontId="4" fillId="12" borderId="51" xfId="2" applyNumberFormat="1" applyFont="1" applyFill="1" applyBorder="1" applyAlignment="1">
      <alignment horizontal="right"/>
    </xf>
    <xf numFmtId="181" fontId="4" fillId="12" borderId="51" xfId="2" applyNumberFormat="1" applyFont="1" applyFill="1" applyBorder="1" applyAlignment="1">
      <alignment horizontal="center" vertical="center"/>
    </xf>
    <xf numFmtId="164" fontId="4" fillId="12" borderId="51" xfId="2" applyNumberFormat="1" applyFont="1" applyFill="1" applyBorder="1" applyAlignment="1">
      <alignment horizontal="right"/>
    </xf>
    <xf numFmtId="0" fontId="13" fillId="12" borderId="144" xfId="0" applyFont="1" applyFill="1" applyBorder="1"/>
    <xf numFmtId="43" fontId="44" fillId="9" borderId="52" xfId="1" applyNumberFormat="1" applyFont="1" applyBorder="1" applyAlignment="1" applyProtection="1">
      <alignment horizontal="right"/>
      <protection locked="0"/>
    </xf>
    <xf numFmtId="181" fontId="4" fillId="12" borderId="52" xfId="2" applyNumberFormat="1" applyFont="1" applyFill="1" applyBorder="1" applyAlignment="1">
      <alignment horizontal="center" vertical="center"/>
    </xf>
    <xf numFmtId="164" fontId="4" fillId="12" borderId="52" xfId="2" applyNumberFormat="1" applyFont="1" applyFill="1" applyBorder="1" applyAlignment="1">
      <alignment horizontal="right"/>
    </xf>
    <xf numFmtId="164" fontId="37" fillId="0" borderId="52" xfId="1" applyNumberFormat="1" applyFont="1" applyFill="1" applyBorder="1" applyAlignment="1">
      <alignment horizontal="right"/>
    </xf>
    <xf numFmtId="43" fontId="4" fillId="12" borderId="52" xfId="2" applyNumberFormat="1" applyFont="1" applyFill="1" applyBorder="1" applyAlignment="1">
      <alignment horizontal="right"/>
    </xf>
    <xf numFmtId="164" fontId="37" fillId="9" borderId="52" xfId="1" applyNumberFormat="1" applyFont="1" applyBorder="1" applyAlignment="1" applyProtection="1">
      <alignment horizontal="right"/>
      <protection locked="0"/>
    </xf>
    <xf numFmtId="43" fontId="37" fillId="9" borderId="52" xfId="1" applyNumberFormat="1" applyFont="1" applyBorder="1" applyAlignment="1" applyProtection="1">
      <alignment horizontal="right"/>
      <protection locked="0"/>
    </xf>
    <xf numFmtId="0" fontId="13" fillId="12" borderId="131" xfId="0" applyFont="1" applyFill="1" applyBorder="1"/>
    <xf numFmtId="43" fontId="4" fillId="12" borderId="8" xfId="2" applyNumberFormat="1" applyFont="1" applyFill="1" applyBorder="1" applyAlignment="1">
      <alignment horizontal="right"/>
    </xf>
    <xf numFmtId="181" fontId="4" fillId="12" borderId="8" xfId="2" applyNumberFormat="1" applyFont="1" applyFill="1" applyBorder="1" applyAlignment="1">
      <alignment horizontal="center" vertical="center"/>
    </xf>
    <xf numFmtId="164" fontId="4" fillId="12" borderId="8" xfId="2" applyNumberFormat="1" applyFont="1" applyFill="1" applyBorder="1" applyAlignment="1">
      <alignment horizontal="right"/>
    </xf>
    <xf numFmtId="164" fontId="37" fillId="9" borderId="8" xfId="1" applyNumberFormat="1" applyFont="1" applyBorder="1" applyAlignment="1" applyProtection="1">
      <alignment horizontal="right"/>
      <protection locked="0"/>
    </xf>
    <xf numFmtId="0" fontId="0" fillId="14" borderId="0" xfId="0" applyFont="1" applyFill="1"/>
    <xf numFmtId="0" fontId="0" fillId="14" borderId="0" xfId="0" applyFont="1" applyFill="1" applyAlignment="1">
      <alignment horizontal="center" vertical="center"/>
    </xf>
    <xf numFmtId="164" fontId="0" fillId="14" borderId="0" xfId="0" applyNumberFormat="1" applyFont="1" applyFill="1"/>
    <xf numFmtId="0" fontId="21" fillId="5" borderId="139" xfId="0" applyFont="1" applyFill="1" applyBorder="1" applyAlignment="1">
      <alignment horizontal="left"/>
    </xf>
    <xf numFmtId="0" fontId="0" fillId="5" borderId="57" xfId="0" applyFont="1" applyFill="1" applyBorder="1"/>
    <xf numFmtId="2" fontId="0" fillId="5" borderId="57" xfId="0" applyNumberFormat="1" applyFont="1" applyFill="1" applyBorder="1"/>
    <xf numFmtId="2" fontId="0" fillId="5" borderId="140" xfId="0" applyNumberFormat="1" applyFont="1" applyFill="1" applyBorder="1"/>
    <xf numFmtId="0" fontId="13" fillId="2" borderId="145" xfId="0" applyFont="1" applyBorder="1" applyAlignment="1">
      <alignment horizontal="left"/>
    </xf>
    <xf numFmtId="0" fontId="0" fillId="2" borderId="54" xfId="0" applyFont="1" applyBorder="1"/>
    <xf numFmtId="0" fontId="0" fillId="2" borderId="54" xfId="0" applyFont="1" applyBorder="1" applyAlignment="1">
      <alignment horizontal="center"/>
    </xf>
    <xf numFmtId="165" fontId="0" fillId="12" borderId="54" xfId="0" applyNumberFormat="1" applyFont="1" applyFill="1" applyBorder="1"/>
    <xf numFmtId="2" fontId="0" fillId="2" borderId="0" xfId="0" applyNumberFormat="1" applyFont="1"/>
    <xf numFmtId="2" fontId="0" fillId="2" borderId="138" xfId="0" applyNumberFormat="1" applyFont="1" applyBorder="1"/>
    <xf numFmtId="0" fontId="13" fillId="2" borderId="101" xfId="0" applyFont="1" applyBorder="1" applyAlignment="1">
      <alignment horizontal="left"/>
    </xf>
    <xf numFmtId="165" fontId="0" fillId="25" borderId="51" xfId="0" applyNumberFormat="1" applyFont="1" applyFill="1" applyBorder="1" applyProtection="1">
      <protection locked="0"/>
    </xf>
    <xf numFmtId="0" fontId="13" fillId="2" borderId="146" xfId="0" applyFont="1" applyBorder="1" applyAlignment="1">
      <alignment horizontal="left"/>
    </xf>
    <xf numFmtId="0" fontId="0" fillId="2" borderId="52" xfId="0" applyFont="1" applyBorder="1"/>
    <xf numFmtId="0" fontId="0" fillId="2" borderId="52" xfId="0" applyFont="1" applyBorder="1" applyAlignment="1">
      <alignment horizontal="center"/>
    </xf>
    <xf numFmtId="165" fontId="0" fillId="25" borderId="52" xfId="0" applyNumberFormat="1" applyFont="1" applyFill="1" applyBorder="1" applyProtection="1">
      <protection locked="0"/>
    </xf>
    <xf numFmtId="0" fontId="0" fillId="3" borderId="91" xfId="0" applyFont="1" applyFill="1" applyBorder="1"/>
    <xf numFmtId="0" fontId="0" fillId="3" borderId="57" xfId="0" applyFont="1" applyFill="1" applyBorder="1"/>
    <xf numFmtId="164" fontId="0" fillId="3" borderId="57" xfId="0" applyNumberFormat="1" applyFont="1" applyFill="1" applyBorder="1"/>
    <xf numFmtId="2" fontId="0" fillId="3" borderId="57" xfId="0" applyNumberFormat="1" applyFont="1" applyFill="1" applyBorder="1"/>
    <xf numFmtId="2" fontId="0" fillId="3" borderId="140" xfId="0" applyNumberFormat="1" applyFont="1" applyFill="1" applyBorder="1"/>
    <xf numFmtId="0" fontId="5" fillId="8" borderId="91" xfId="0" applyFont="1" applyFill="1" applyBorder="1"/>
    <xf numFmtId="0" fontId="0" fillId="8" borderId="57" xfId="0" applyFont="1" applyFill="1" applyBorder="1"/>
    <xf numFmtId="2" fontId="0" fillId="8" borderId="57" xfId="0" applyNumberFormat="1" applyFont="1" applyFill="1" applyBorder="1"/>
    <xf numFmtId="2" fontId="0" fillId="8" borderId="140" xfId="0" applyNumberFormat="1" applyFont="1" applyFill="1" applyBorder="1"/>
    <xf numFmtId="0" fontId="0" fillId="2" borderId="54" xfId="0" applyFont="1" applyBorder="1" applyAlignment="1">
      <alignment horizontal="center" vertical="center"/>
    </xf>
    <xf numFmtId="0" fontId="0" fillId="2" borderId="51" xfId="0" applyFont="1" applyBorder="1" applyAlignment="1">
      <alignment horizontal="center" vertical="center"/>
    </xf>
    <xf numFmtId="0" fontId="13" fillId="2" borderId="147" xfId="0" applyFont="1" applyBorder="1" applyAlignment="1">
      <alignment horizontal="left"/>
    </xf>
    <xf numFmtId="0" fontId="0" fillId="2" borderId="8" xfId="0" applyFont="1" applyBorder="1"/>
    <xf numFmtId="0" fontId="0" fillId="2" borderId="8" xfId="0" applyFont="1" applyBorder="1" applyAlignment="1">
      <alignment horizontal="center" vertical="center"/>
    </xf>
    <xf numFmtId="2" fontId="0" fillId="2" borderId="25" xfId="0" applyNumberFormat="1" applyFont="1" applyBorder="1"/>
    <xf numFmtId="2" fontId="0" fillId="2" borderId="148" xfId="0" applyNumberFormat="1" applyFont="1" applyBorder="1"/>
    <xf numFmtId="0" fontId="0" fillId="10" borderId="57" xfId="0" applyFont="1" applyFill="1" applyBorder="1"/>
    <xf numFmtId="2" fontId="0" fillId="10" borderId="57" xfId="0" applyNumberFormat="1" applyFont="1" applyFill="1" applyBorder="1"/>
    <xf numFmtId="2" fontId="0" fillId="10" borderId="140" xfId="0" applyNumberFormat="1" applyFont="1" applyFill="1" applyBorder="1"/>
    <xf numFmtId="0" fontId="0" fillId="15" borderId="57" xfId="0" applyFont="1" applyFill="1" applyBorder="1"/>
    <xf numFmtId="2" fontId="0" fillId="15" borderId="57" xfId="0" applyNumberFormat="1" applyFont="1" applyFill="1" applyBorder="1"/>
    <xf numFmtId="2" fontId="0" fillId="15" borderId="140" xfId="0" applyNumberFormat="1" applyFont="1" applyFill="1" applyBorder="1"/>
    <xf numFmtId="2" fontId="0" fillId="0" borderId="141" xfId="0" applyNumberFormat="1" applyFont="1" applyFill="1" applyBorder="1"/>
    <xf numFmtId="0" fontId="0" fillId="2" borderId="141" xfId="0" applyFont="1" applyBorder="1" applyAlignment="1">
      <alignment horizontal="center" vertical="center"/>
    </xf>
    <xf numFmtId="172" fontId="0" fillId="25" borderId="141" xfId="0" applyNumberFormat="1" applyFont="1" applyFill="1" applyBorder="1" applyProtection="1">
      <protection locked="0"/>
    </xf>
    <xf numFmtId="2" fontId="0" fillId="0" borderId="51" xfId="0" applyNumberFormat="1" applyFont="1" applyFill="1" applyBorder="1"/>
    <xf numFmtId="172" fontId="0" fillId="25" borderId="51" xfId="0" applyNumberFormat="1" applyFont="1" applyFill="1" applyBorder="1" applyProtection="1">
      <protection locked="0"/>
    </xf>
    <xf numFmtId="0" fontId="0" fillId="0" borderId="8" xfId="0" applyFont="1" applyFill="1" applyBorder="1"/>
    <xf numFmtId="172" fontId="0" fillId="25" borderId="8" xfId="0" applyNumberFormat="1" applyFont="1" applyFill="1" applyBorder="1" applyProtection="1">
      <protection locked="0"/>
    </xf>
    <xf numFmtId="0" fontId="0" fillId="14" borderId="57" xfId="0" applyFont="1" applyFill="1" applyBorder="1"/>
    <xf numFmtId="2" fontId="0" fillId="14" borderId="57" xfId="0" applyNumberFormat="1" applyFont="1" applyFill="1" applyBorder="1"/>
    <xf numFmtId="2" fontId="0" fillId="14" borderId="140" xfId="0" applyNumberFormat="1" applyFont="1" applyFill="1" applyBorder="1"/>
    <xf numFmtId="172" fontId="0" fillId="0" borderId="0" xfId="0" applyNumberFormat="1" applyFont="1" applyFill="1"/>
    <xf numFmtId="0" fontId="5" fillId="5" borderId="58" xfId="0" applyFont="1" applyFill="1" applyBorder="1" applyAlignment="1">
      <alignment horizontal="center"/>
    </xf>
    <xf numFmtId="0" fontId="5" fillId="5" borderId="28" xfId="0" applyFont="1" applyFill="1" applyBorder="1" applyAlignment="1">
      <alignment horizontal="center"/>
    </xf>
    <xf numFmtId="0" fontId="5" fillId="5" borderId="28" xfId="0" applyFont="1" applyFill="1" applyBorder="1" applyAlignment="1">
      <alignment horizontal="center" vertical="justify" wrapText="1"/>
    </xf>
    <xf numFmtId="0" fontId="5" fillId="5" borderId="149" xfId="0" applyFont="1" applyFill="1" applyBorder="1" applyAlignment="1">
      <alignment horizontal="center"/>
    </xf>
    <xf numFmtId="172" fontId="5" fillId="5" borderId="150" xfId="0" applyNumberFormat="1" applyFont="1" applyFill="1" applyBorder="1" applyAlignment="1">
      <alignment horizontal="center"/>
    </xf>
    <xf numFmtId="172" fontId="5" fillId="5" borderId="28" xfId="0" applyNumberFormat="1" applyFont="1" applyFill="1" applyBorder="1" applyAlignment="1">
      <alignment horizontal="center"/>
    </xf>
    <xf numFmtId="172" fontId="5" fillId="5" borderId="149" xfId="0" applyNumberFormat="1" applyFont="1" applyFill="1" applyBorder="1" applyAlignment="1">
      <alignment horizontal="center"/>
    </xf>
    <xf numFmtId="0" fontId="5" fillId="5" borderId="150" xfId="0" applyFont="1" applyFill="1" applyBorder="1" applyAlignment="1">
      <alignment horizontal="center"/>
    </xf>
    <xf numFmtId="0" fontId="5" fillId="5" borderId="81" xfId="0" applyFont="1" applyFill="1" applyBorder="1" applyAlignment="1">
      <alignment horizontal="center"/>
    </xf>
    <xf numFmtId="0" fontId="5" fillId="5" borderId="59" xfId="0" applyFont="1" applyFill="1" applyBorder="1" applyAlignment="1">
      <alignment horizontal="center"/>
    </xf>
    <xf numFmtId="0" fontId="5" fillId="5" borderId="0" xfId="0" applyFont="1" applyFill="1" applyBorder="1" applyAlignment="1">
      <alignment horizontal="center"/>
    </xf>
    <xf numFmtId="0" fontId="5" fillId="5" borderId="0" xfId="0" applyFont="1" applyFill="1" applyBorder="1" applyAlignment="1">
      <alignment horizontal="center" wrapText="1"/>
    </xf>
    <xf numFmtId="0" fontId="5" fillId="5" borderId="45" xfId="0" applyFont="1" applyFill="1" applyBorder="1" applyAlignment="1">
      <alignment horizontal="center"/>
    </xf>
    <xf numFmtId="172" fontId="5" fillId="5" borderId="0" xfId="0" applyNumberFormat="1" applyFont="1" applyFill="1" applyBorder="1" applyAlignment="1">
      <alignment horizontal="center"/>
    </xf>
    <xf numFmtId="172" fontId="5" fillId="5" borderId="46" xfId="0" applyNumberFormat="1" applyFont="1" applyFill="1" applyBorder="1" applyAlignment="1">
      <alignment horizontal="center"/>
    </xf>
    <xf numFmtId="0" fontId="5" fillId="5" borderId="46" xfId="0" applyFont="1" applyFill="1" applyBorder="1" applyAlignment="1">
      <alignment horizontal="center"/>
    </xf>
    <xf numFmtId="0" fontId="5" fillId="5" borderId="138" xfId="0" applyFont="1" applyFill="1" applyBorder="1" applyAlignment="1">
      <alignment horizontal="center"/>
    </xf>
    <xf numFmtId="0" fontId="5" fillId="3" borderId="57" xfId="0" applyFont="1" applyFill="1" applyBorder="1"/>
    <xf numFmtId="0" fontId="5" fillId="3" borderId="57" xfId="0" applyFont="1" applyFill="1" applyBorder="1" applyAlignment="1">
      <alignment horizontal="left"/>
    </xf>
    <xf numFmtId="0" fontId="5" fillId="3" borderId="57" xfId="0" applyFont="1" applyFill="1" applyBorder="1" applyAlignment="1">
      <alignment horizontal="center"/>
    </xf>
    <xf numFmtId="0" fontId="19" fillId="3" borderId="91" xfId="0" applyFont="1" applyFill="1" applyBorder="1" applyAlignment="1">
      <alignment horizontal="left"/>
    </xf>
    <xf numFmtId="172" fontId="19" fillId="3" borderId="57" xfId="0" applyNumberFormat="1" applyFont="1" applyFill="1" applyBorder="1" applyAlignment="1">
      <alignment horizontal="left"/>
    </xf>
    <xf numFmtId="172" fontId="19" fillId="3" borderId="92" xfId="0" applyNumberFormat="1" applyFont="1" applyFill="1" applyBorder="1" applyAlignment="1">
      <alignment horizontal="left"/>
    </xf>
    <xf numFmtId="0" fontId="19" fillId="3" borderId="57" xfId="0" applyFont="1" applyFill="1" applyBorder="1" applyAlignment="1">
      <alignment horizontal="left"/>
    </xf>
    <xf numFmtId="0" fontId="19" fillId="3" borderId="92" xfId="0" applyFont="1" applyFill="1" applyBorder="1" applyAlignment="1">
      <alignment horizontal="left"/>
    </xf>
    <xf numFmtId="0" fontId="5" fillId="3" borderId="140" xfId="0" applyFont="1" applyFill="1" applyBorder="1" applyAlignment="1">
      <alignment horizontal="center"/>
    </xf>
    <xf numFmtId="0" fontId="5" fillId="5" borderId="139" xfId="0" applyFont="1" applyFill="1" applyBorder="1"/>
    <xf numFmtId="0" fontId="0" fillId="5" borderId="91" xfId="0" applyFont="1" applyFill="1" applyBorder="1"/>
    <xf numFmtId="172" fontId="0" fillId="5" borderId="57" xfId="0" applyNumberFormat="1" applyFont="1" applyFill="1" applyBorder="1"/>
    <xf numFmtId="172" fontId="0" fillId="5" borderId="92" xfId="0" applyNumberFormat="1" applyFont="1" applyFill="1" applyBorder="1"/>
    <xf numFmtId="0" fontId="0" fillId="5" borderId="57" xfId="0" applyFont="1" applyFill="1" applyBorder="1" applyAlignment="1">
      <alignment horizontal="center"/>
    </xf>
    <xf numFmtId="164" fontId="0" fillId="5" borderId="57" xfId="0" applyNumberFormat="1" applyFont="1" applyFill="1" applyBorder="1"/>
    <xf numFmtId="167" fontId="0" fillId="5" borderId="92" xfId="0" applyNumberFormat="1" applyFont="1" applyFill="1" applyBorder="1"/>
    <xf numFmtId="0" fontId="0" fillId="5" borderId="140" xfId="0" applyFont="1" applyFill="1" applyBorder="1"/>
    <xf numFmtId="0" fontId="0" fillId="3" borderId="151" xfId="0" applyFont="1" applyFill="1" applyBorder="1"/>
    <xf numFmtId="1" fontId="0" fillId="3" borderId="93" xfId="0" applyNumberFormat="1" applyFont="1" applyFill="1" applyBorder="1" applyAlignment="1">
      <alignment horizontal="center"/>
    </xf>
    <xf numFmtId="2" fontId="0" fillId="0" borderId="0" xfId="0" applyNumberFormat="1" applyFont="1" applyFill="1" applyBorder="1"/>
    <xf numFmtId="166" fontId="0" fillId="12" borderId="47" xfId="0" applyNumberFormat="1" applyFont="1" applyFill="1" applyBorder="1"/>
    <xf numFmtId="172" fontId="0" fillId="12" borderId="26" xfId="0" applyNumberFormat="1" applyFont="1" applyFill="1" applyBorder="1"/>
    <xf numFmtId="172" fontId="0" fillId="12" borderId="48" xfId="0" applyNumberFormat="1" applyFont="1" applyFill="1" applyBorder="1"/>
    <xf numFmtId="6" fontId="0" fillId="12" borderId="47" xfId="0" applyNumberFormat="1" applyFont="1" applyFill="1" applyBorder="1" applyAlignment="1">
      <alignment horizontal="right"/>
    </xf>
    <xf numFmtId="0" fontId="0" fillId="12" borderId="26" xfId="0" applyFont="1" applyFill="1" applyBorder="1" applyAlignment="1">
      <alignment horizontal="right"/>
    </xf>
    <xf numFmtId="165" fontId="0" fillId="12" borderId="48" xfId="0" applyNumberFormat="1" applyFont="1" applyFill="1" applyBorder="1" applyAlignment="1">
      <alignment horizontal="right"/>
    </xf>
    <xf numFmtId="174" fontId="0" fillId="12" borderId="26" xfId="0" applyNumberFormat="1" applyFont="1" applyFill="1" applyBorder="1" applyAlignment="1">
      <alignment horizontal="right"/>
    </xf>
    <xf numFmtId="174" fontId="0" fillId="12" borderId="48" xfId="0" applyNumberFormat="1" applyFont="1" applyFill="1" applyBorder="1" applyAlignment="1">
      <alignment horizontal="right"/>
    </xf>
    <xf numFmtId="165" fontId="0" fillId="0" borderId="0" xfId="0" applyNumberFormat="1" applyFont="1" applyFill="1" applyBorder="1" applyAlignment="1">
      <alignment horizontal="right"/>
    </xf>
    <xf numFmtId="0" fontId="0" fillId="0" borderId="138" xfId="0" applyFont="1" applyFill="1" applyBorder="1"/>
    <xf numFmtId="0" fontId="0" fillId="3" borderId="139" xfId="0" applyFont="1" applyFill="1" applyBorder="1"/>
    <xf numFmtId="1" fontId="0" fillId="3" borderId="57" xfId="0" applyNumberFormat="1" applyFont="1" applyFill="1" applyBorder="1" applyAlignment="1">
      <alignment horizontal="center"/>
    </xf>
    <xf numFmtId="166" fontId="5" fillId="10" borderId="91" xfId="0" applyNumberFormat="1" applyFont="1" applyFill="1" applyBorder="1"/>
    <xf numFmtId="172" fontId="5" fillId="10" borderId="57" xfId="0" applyNumberFormat="1" applyFont="1" applyFill="1" applyBorder="1"/>
    <xf numFmtId="172" fontId="5" fillId="10" borderId="92" xfId="0" applyNumberFormat="1" applyFont="1" applyFill="1" applyBorder="1"/>
    <xf numFmtId="172" fontId="5" fillId="10" borderId="91" xfId="0" applyNumberFormat="1" applyFont="1" applyFill="1" applyBorder="1"/>
    <xf numFmtId="164" fontId="5" fillId="10" borderId="57" xfId="0" applyNumberFormat="1" applyFont="1" applyFill="1" applyBorder="1"/>
    <xf numFmtId="169" fontId="5" fillId="10" borderId="91" xfId="0" applyNumberFormat="1" applyFont="1" applyFill="1" applyBorder="1"/>
    <xf numFmtId="165" fontId="5" fillId="10" borderId="92" xfId="0" applyNumberFormat="1" applyFont="1" applyFill="1" applyBorder="1"/>
    <xf numFmtId="165" fontId="5" fillId="10" borderId="57" xfId="0" applyNumberFormat="1" applyFont="1" applyFill="1" applyBorder="1"/>
    <xf numFmtId="165" fontId="5" fillId="10" borderId="140" xfId="0" applyNumberFormat="1" applyFont="1" applyFill="1" applyBorder="1"/>
    <xf numFmtId="0" fontId="5" fillId="15" borderId="91" xfId="0" applyFont="1" applyFill="1" applyBorder="1"/>
    <xf numFmtId="172" fontId="5" fillId="15" borderId="57" xfId="0" applyNumberFormat="1" applyFont="1" applyFill="1" applyBorder="1"/>
    <xf numFmtId="172" fontId="5" fillId="15" borderId="92" xfId="0" applyNumberFormat="1" applyFont="1" applyFill="1" applyBorder="1"/>
    <xf numFmtId="172" fontId="5" fillId="15" borderId="91" xfId="0" applyNumberFormat="1" applyFont="1" applyFill="1" applyBorder="1"/>
    <xf numFmtId="0" fontId="5" fillId="15" borderId="57" xfId="0" applyFont="1" applyFill="1" applyBorder="1" applyAlignment="1">
      <alignment horizontal="center"/>
    </xf>
    <xf numFmtId="2" fontId="5" fillId="15" borderId="57" xfId="0" applyNumberFormat="1" applyFont="1" applyFill="1" applyBorder="1"/>
    <xf numFmtId="164" fontId="5" fillId="15" borderId="57" xfId="0" applyNumberFormat="1" applyFont="1" applyFill="1" applyBorder="1"/>
    <xf numFmtId="167" fontId="5" fillId="15" borderId="92" xfId="0" applyNumberFormat="1" applyFont="1" applyFill="1" applyBorder="1"/>
    <xf numFmtId="0" fontId="5" fillId="15" borderId="140" xfId="0" applyFont="1" applyFill="1" applyBorder="1"/>
    <xf numFmtId="166" fontId="0" fillId="12" borderId="45" xfId="0" applyNumberFormat="1" applyFont="1" applyFill="1" applyBorder="1"/>
    <xf numFmtId="172" fontId="0" fillId="12" borderId="0" xfId="0" applyNumberFormat="1" applyFont="1" applyFill="1" applyBorder="1"/>
    <xf numFmtId="172" fontId="0" fillId="12" borderId="46" xfId="0" applyNumberFormat="1" applyFont="1" applyFill="1" applyBorder="1"/>
    <xf numFmtId="172" fontId="0" fillId="12" borderId="45" xfId="0" applyNumberFormat="1" applyFont="1" applyFill="1" applyBorder="1"/>
    <xf numFmtId="0" fontId="0" fillId="12" borderId="0" xfId="0" applyFont="1" applyFill="1" applyBorder="1" applyAlignment="1">
      <alignment horizontal="center"/>
    </xf>
    <xf numFmtId="2" fontId="0" fillId="12" borderId="0" xfId="0" applyNumberFormat="1" applyFont="1" applyFill="1" applyBorder="1"/>
    <xf numFmtId="164" fontId="0" fillId="12" borderId="0" xfId="0" applyNumberFormat="1" applyFont="1" applyFill="1" applyBorder="1"/>
    <xf numFmtId="165" fontId="0" fillId="12" borderId="46" xfId="0" applyNumberFormat="1" applyFont="1" applyFill="1" applyBorder="1"/>
    <xf numFmtId="165" fontId="0" fillId="0" borderId="0" xfId="0" applyNumberFormat="1" applyFont="1" applyFill="1" applyBorder="1"/>
    <xf numFmtId="0" fontId="0" fillId="3" borderId="59" xfId="0" applyFont="1" applyFill="1" applyBorder="1"/>
    <xf numFmtId="1" fontId="0" fillId="3" borderId="22" xfId="0" applyNumberFormat="1" applyFont="1" applyFill="1" applyBorder="1" applyAlignment="1">
      <alignment horizontal="center"/>
    </xf>
    <xf numFmtId="174" fontId="0" fillId="12" borderId="0" xfId="0" applyNumberFormat="1" applyFont="1" applyFill="1" applyBorder="1" applyAlignment="1">
      <alignment horizontal="right"/>
    </xf>
    <xf numFmtId="164" fontId="0" fillId="0" borderId="138" xfId="0" applyNumberFormat="1" applyFont="1" applyFill="1" applyBorder="1"/>
    <xf numFmtId="4" fontId="0" fillId="3" borderId="60" xfId="0" applyNumberFormat="1" applyFont="1" applyFill="1" applyBorder="1"/>
    <xf numFmtId="0" fontId="0" fillId="3" borderId="11" xfId="0" applyNumberFormat="1" applyFont="1" applyFill="1" applyBorder="1" applyAlignment="1">
      <alignment horizontal="center"/>
    </xf>
    <xf numFmtId="173" fontId="5" fillId="10" borderId="91" xfId="0" applyNumberFormat="1" applyFont="1" applyFill="1" applyBorder="1"/>
    <xf numFmtId="1" fontId="0" fillId="5" borderId="57" xfId="0" applyNumberFormat="1" applyFont="1" applyFill="1" applyBorder="1" applyAlignment="1">
      <alignment horizontal="center"/>
    </xf>
    <xf numFmtId="166" fontId="5" fillId="15" borderId="91" xfId="0" applyNumberFormat="1" applyFont="1" applyFill="1" applyBorder="1"/>
    <xf numFmtId="165" fontId="5" fillId="15" borderId="92" xfId="0" applyNumberFormat="1" applyFont="1" applyFill="1" applyBorder="1"/>
    <xf numFmtId="165" fontId="5" fillId="15" borderId="57" xfId="0" applyNumberFormat="1" applyFont="1" applyFill="1" applyBorder="1"/>
    <xf numFmtId="166" fontId="5" fillId="10" borderId="57" xfId="0" applyNumberFormat="1" applyFont="1" applyFill="1" applyBorder="1"/>
    <xf numFmtId="172" fontId="5" fillId="10" borderId="140" xfId="0" applyNumberFormat="1" applyFont="1" applyFill="1" applyBorder="1"/>
    <xf numFmtId="0" fontId="5" fillId="3" borderId="60" xfId="0" applyFont="1" applyFill="1" applyBorder="1"/>
    <xf numFmtId="1" fontId="0" fillId="3" borderId="11" xfId="0" applyNumberFormat="1" applyFont="1" applyFill="1" applyBorder="1" applyAlignment="1">
      <alignment horizontal="center"/>
    </xf>
    <xf numFmtId="171" fontId="5" fillId="10" borderId="57" xfId="0" applyNumberFormat="1" applyFont="1" applyFill="1" applyBorder="1"/>
    <xf numFmtId="1" fontId="0" fillId="3" borderId="105" xfId="0" applyNumberFormat="1" applyFont="1" applyFill="1" applyBorder="1" applyAlignment="1">
      <alignment horizontal="center"/>
    </xf>
    <xf numFmtId="0" fontId="0" fillId="3" borderId="60" xfId="0" applyFont="1" applyFill="1" applyBorder="1"/>
    <xf numFmtId="166" fontId="0" fillId="12" borderId="0" xfId="0" applyNumberFormat="1" applyFont="1" applyFill="1" applyBorder="1" applyAlignment="1">
      <alignment horizontal="center"/>
    </xf>
    <xf numFmtId="166" fontId="0" fillId="12" borderId="0" xfId="0" applyNumberFormat="1" applyFont="1" applyFill="1" applyBorder="1"/>
    <xf numFmtId="165" fontId="0" fillId="0" borderId="138" xfId="0" applyNumberFormat="1" applyFont="1" applyFill="1" applyBorder="1"/>
    <xf numFmtId="1" fontId="0" fillId="3" borderId="25" xfId="0" applyNumberFormat="1" applyFont="1" applyFill="1" applyBorder="1" applyAlignment="1">
      <alignment horizontal="center"/>
    </xf>
    <xf numFmtId="164" fontId="0" fillId="12" borderId="46" xfId="0" applyNumberFormat="1" applyFont="1" applyFill="1" applyBorder="1"/>
    <xf numFmtId="0" fontId="0" fillId="5" borderId="60" xfId="0" applyFont="1" applyFill="1" applyBorder="1"/>
    <xf numFmtId="1" fontId="0" fillId="5" borderId="25" xfId="0" applyNumberFormat="1" applyFont="1" applyFill="1" applyBorder="1" applyAlignment="1">
      <alignment horizontal="center"/>
    </xf>
    <xf numFmtId="0" fontId="0" fillId="5" borderId="25" xfId="0" applyFont="1" applyFill="1" applyBorder="1"/>
    <xf numFmtId="2" fontId="0" fillId="5" borderId="25" xfId="0" applyNumberFormat="1" applyFont="1" applyFill="1" applyBorder="1"/>
    <xf numFmtId="166" fontId="0" fillId="15" borderId="33" xfId="0" applyNumberFormat="1" applyFont="1" applyFill="1" applyBorder="1"/>
    <xf numFmtId="172" fontId="0" fillId="15" borderId="25" xfId="0" applyNumberFormat="1" applyFont="1" applyFill="1" applyBorder="1"/>
    <xf numFmtId="172" fontId="0" fillId="15" borderId="49" xfId="0" applyNumberFormat="1" applyFont="1" applyFill="1" applyBorder="1"/>
    <xf numFmtId="172" fontId="0" fillId="15" borderId="33" xfId="0" applyNumberFormat="1" applyFont="1" applyFill="1" applyBorder="1"/>
    <xf numFmtId="0" fontId="0" fillId="15" borderId="25" xfId="0" applyFont="1" applyFill="1" applyBorder="1" applyAlignment="1">
      <alignment horizontal="center"/>
    </xf>
    <xf numFmtId="2" fontId="0" fillId="15" borderId="25" xfId="0" applyNumberFormat="1" applyFont="1" applyFill="1" applyBorder="1"/>
    <xf numFmtId="164" fontId="0" fillId="15" borderId="25" xfId="0" applyNumberFormat="1" applyFont="1" applyFill="1" applyBorder="1"/>
    <xf numFmtId="165" fontId="0" fillId="15" borderId="49" xfId="0" applyNumberFormat="1" applyFont="1" applyFill="1" applyBorder="1"/>
    <xf numFmtId="165" fontId="0" fillId="5" borderId="25" xfId="0" applyNumberFormat="1" applyFont="1" applyFill="1" applyBorder="1"/>
    <xf numFmtId="164" fontId="5" fillId="5" borderId="148" xfId="0" applyNumberFormat="1" applyFont="1" applyFill="1" applyBorder="1"/>
    <xf numFmtId="0" fontId="0" fillId="5" borderId="139" xfId="0" applyFont="1" applyFill="1" applyBorder="1"/>
    <xf numFmtId="166" fontId="0" fillId="12" borderId="91" xfId="0" applyNumberFormat="1" applyFont="1" applyFill="1" applyBorder="1"/>
    <xf numFmtId="172" fontId="0" fillId="12" borderId="57" xfId="0" applyNumberFormat="1" applyFont="1" applyFill="1" applyBorder="1"/>
    <xf numFmtId="172" fontId="0" fillId="12" borderId="92" xfId="0" applyNumberFormat="1" applyFont="1" applyFill="1" applyBorder="1"/>
    <xf numFmtId="172" fontId="0" fillId="12" borderId="91" xfId="0" applyNumberFormat="1" applyFont="1" applyFill="1" applyBorder="1"/>
    <xf numFmtId="0" fontId="0" fillId="12" borderId="57" xfId="0" applyFont="1" applyFill="1" applyBorder="1" applyAlignment="1">
      <alignment horizontal="center"/>
    </xf>
    <xf numFmtId="2" fontId="0" fillId="12" borderId="57" xfId="0" applyNumberFormat="1" applyFont="1" applyFill="1" applyBorder="1"/>
    <xf numFmtId="164" fontId="0" fillId="12" borderId="57" xfId="0" applyNumberFormat="1" applyFont="1" applyFill="1" applyBorder="1"/>
    <xf numFmtId="165" fontId="0" fillId="12" borderId="92" xfId="0" applyNumberFormat="1" applyFont="1" applyFill="1" applyBorder="1"/>
    <xf numFmtId="165" fontId="0" fillId="5" borderId="57" xfId="0" applyNumberFormat="1" applyFont="1" applyFill="1" applyBorder="1"/>
    <xf numFmtId="166" fontId="5" fillId="15" borderId="57" xfId="0" applyNumberFormat="1" applyFont="1" applyFill="1" applyBorder="1"/>
    <xf numFmtId="165" fontId="5" fillId="15" borderId="91" xfId="0" applyNumberFormat="1" applyFont="1" applyFill="1" applyBorder="1"/>
    <xf numFmtId="165" fontId="5" fillId="15" borderId="140" xfId="0" applyNumberFormat="1" applyFont="1" applyFill="1" applyBorder="1"/>
    <xf numFmtId="1" fontId="34" fillId="2" borderId="0" xfId="0" applyNumberFormat="1" applyFont="1" applyAlignment="1">
      <alignment horizontal="center"/>
    </xf>
    <xf numFmtId="166" fontId="0" fillId="0" borderId="0" xfId="0" applyNumberFormat="1" applyFont="1" applyFill="1" applyBorder="1"/>
    <xf numFmtId="172" fontId="0" fillId="2" borderId="0" xfId="0" applyNumberFormat="1" applyFont="1"/>
    <xf numFmtId="166" fontId="0" fillId="2" borderId="0" xfId="0" applyNumberFormat="1" applyFont="1"/>
    <xf numFmtId="166" fontId="0" fillId="25" borderId="45" xfId="0" applyNumberFormat="1" applyFont="1" applyFill="1" applyBorder="1" applyProtection="1">
      <protection locked="0"/>
    </xf>
    <xf numFmtId="166" fontId="0" fillId="25" borderId="47" xfId="0" applyNumberFormat="1" applyFont="1" applyFill="1" applyBorder="1" applyAlignment="1" applyProtection="1">
      <alignment horizontal="right"/>
      <protection locked="0"/>
    </xf>
    <xf numFmtId="0" fontId="0" fillId="2" borderId="0" xfId="0" applyFont="1" applyAlignment="1">
      <alignment horizontal="right"/>
    </xf>
    <xf numFmtId="166" fontId="0" fillId="2" borderId="0" xfId="0" applyNumberFormat="1" applyFont="1" applyAlignment="1">
      <alignment horizontal="right"/>
    </xf>
    <xf numFmtId="172" fontId="0" fillId="2" borderId="0" xfId="0" applyNumberFormat="1" applyFont="1" applyAlignment="1">
      <alignment horizontal="right"/>
    </xf>
    <xf numFmtId="165" fontId="0" fillId="2" borderId="0" xfId="0" applyNumberFormat="1" applyFont="1" applyAlignment="1">
      <alignment horizontal="right"/>
    </xf>
    <xf numFmtId="174" fontId="0" fillId="2" borderId="0" xfId="0" applyNumberFormat="1" applyFont="1" applyAlignment="1">
      <alignment horizontal="right"/>
    </xf>
    <xf numFmtId="0" fontId="5" fillId="2" borderId="0" xfId="0" applyFont="1" applyAlignment="1">
      <alignment horizontal="right"/>
    </xf>
    <xf numFmtId="0" fontId="0" fillId="5" borderId="28" xfId="0" applyFont="1" applyFill="1" applyBorder="1" applyAlignment="1">
      <alignment horizontal="center"/>
    </xf>
    <xf numFmtId="0" fontId="0" fillId="15" borderId="28" xfId="0" applyFont="1" applyFill="1" applyBorder="1" applyAlignment="1">
      <alignment horizontal="center"/>
    </xf>
    <xf numFmtId="166" fontId="0" fillId="15" borderId="149" xfId="0" applyNumberFormat="1" applyFont="1" applyFill="1" applyBorder="1" applyAlignment="1">
      <alignment horizontal="center"/>
    </xf>
    <xf numFmtId="0" fontId="5" fillId="15" borderId="28" xfId="0" applyFont="1" applyFill="1" applyBorder="1" applyAlignment="1">
      <alignment horizontal="center"/>
    </xf>
    <xf numFmtId="165" fontId="0" fillId="15" borderId="150" xfId="0" applyNumberFormat="1" applyFont="1" applyFill="1" applyBorder="1" applyAlignment="1">
      <alignment horizontal="center"/>
    </xf>
    <xf numFmtId="165" fontId="0" fillId="5" borderId="28" xfId="0" applyNumberFormat="1" applyFont="1" applyFill="1" applyBorder="1" applyAlignment="1">
      <alignment horizontal="center"/>
    </xf>
    <xf numFmtId="0" fontId="0" fillId="5" borderId="149" xfId="0" applyFont="1" applyFill="1" applyBorder="1" applyAlignment="1">
      <alignment horizontal="center"/>
    </xf>
    <xf numFmtId="0" fontId="0" fillId="5" borderId="150" xfId="0" applyFont="1" applyFill="1" applyBorder="1" applyAlignment="1">
      <alignment horizontal="center"/>
    </xf>
    <xf numFmtId="0" fontId="0" fillId="5" borderId="59" xfId="0" applyFont="1" applyFill="1" applyBorder="1" applyAlignment="1">
      <alignment horizontal="center"/>
    </xf>
    <xf numFmtId="0" fontId="0" fillId="5" borderId="0" xfId="0" applyFont="1" applyFill="1" applyBorder="1" applyAlignment="1">
      <alignment horizontal="center"/>
    </xf>
    <xf numFmtId="0" fontId="19" fillId="5" borderId="0" xfId="0" applyFont="1" applyFill="1" applyBorder="1" applyAlignment="1">
      <alignment horizontal="center"/>
    </xf>
    <xf numFmtId="166" fontId="19" fillId="15" borderId="45" xfId="0" applyNumberFormat="1" applyFont="1" applyFill="1" applyBorder="1" applyAlignment="1">
      <alignment horizontal="center"/>
    </xf>
    <xf numFmtId="172" fontId="19" fillId="15" borderId="0" xfId="0" applyNumberFormat="1" applyFont="1" applyFill="1" applyBorder="1" applyAlignment="1">
      <alignment horizontal="center"/>
    </xf>
    <xf numFmtId="165" fontId="19" fillId="15" borderId="46" xfId="0" applyNumberFormat="1" applyFont="1" applyFill="1" applyBorder="1" applyAlignment="1">
      <alignment horizontal="center"/>
    </xf>
    <xf numFmtId="165" fontId="19" fillId="5" borderId="0" xfId="0" applyNumberFormat="1" applyFont="1" applyFill="1" applyBorder="1" applyAlignment="1">
      <alignment horizontal="center"/>
    </xf>
    <xf numFmtId="0" fontId="19" fillId="5" borderId="45" xfId="0" applyFont="1" applyFill="1" applyBorder="1" applyAlignment="1">
      <alignment horizontal="center"/>
    </xf>
    <xf numFmtId="174" fontId="19" fillId="5" borderId="0" xfId="0" applyNumberFormat="1" applyFont="1" applyFill="1" applyBorder="1" applyAlignment="1">
      <alignment horizontal="center"/>
    </xf>
    <xf numFmtId="0" fontId="19" fillId="5" borderId="46" xfId="0" applyFont="1" applyFill="1" applyBorder="1" applyAlignment="1">
      <alignment horizontal="center"/>
    </xf>
    <xf numFmtId="0" fontId="19" fillId="3" borderId="57" xfId="0" applyFont="1" applyFill="1" applyBorder="1" applyAlignment="1">
      <alignment horizontal="right"/>
    </xf>
    <xf numFmtId="166" fontId="19" fillId="10" borderId="91" xfId="0" applyNumberFormat="1" applyFont="1" applyFill="1" applyBorder="1" applyAlignment="1">
      <alignment horizontal="right"/>
    </xf>
    <xf numFmtId="172" fontId="19" fillId="10" borderId="57" xfId="0" applyNumberFormat="1" applyFont="1" applyFill="1" applyBorder="1" applyAlignment="1">
      <alignment horizontal="right"/>
    </xf>
    <xf numFmtId="165" fontId="19" fillId="10" borderId="92" xfId="0" applyNumberFormat="1" applyFont="1" applyFill="1" applyBorder="1" applyAlignment="1">
      <alignment horizontal="right"/>
    </xf>
    <xf numFmtId="0" fontId="19" fillId="3" borderId="57" xfId="0" applyFont="1" applyFill="1" applyBorder="1" applyAlignment="1">
      <alignment horizontal="center"/>
    </xf>
    <xf numFmtId="165" fontId="19" fillId="3" borderId="57" xfId="0" applyNumberFormat="1" applyFont="1" applyFill="1" applyBorder="1" applyAlignment="1">
      <alignment horizontal="right"/>
    </xf>
    <xf numFmtId="0" fontId="19" fillId="3" borderId="91" xfId="0" applyFont="1" applyFill="1" applyBorder="1" applyAlignment="1">
      <alignment horizontal="right"/>
    </xf>
    <xf numFmtId="174" fontId="19" fillId="3" borderId="57" xfId="0" applyNumberFormat="1" applyFont="1" applyFill="1" applyBorder="1" applyAlignment="1">
      <alignment horizontal="right"/>
    </xf>
    <xf numFmtId="0" fontId="19" fillId="3" borderId="92" xfId="0" applyFont="1" applyFill="1" applyBorder="1" applyAlignment="1">
      <alignment horizontal="right"/>
    </xf>
    <xf numFmtId="0" fontId="5" fillId="3" borderId="57" xfId="0" applyFont="1" applyFill="1" applyBorder="1" applyAlignment="1">
      <alignment horizontal="right"/>
    </xf>
    <xf numFmtId="0" fontId="0" fillId="3" borderId="140" xfId="0" applyFont="1" applyFill="1" applyBorder="1" applyAlignment="1">
      <alignment horizontal="right"/>
    </xf>
    <xf numFmtId="0" fontId="5" fillId="5" borderId="139" xfId="0" applyNumberFormat="1" applyFont="1" applyFill="1" applyBorder="1" applyAlignment="1">
      <alignment horizontal="right" wrapText="1"/>
    </xf>
    <xf numFmtId="0" fontId="5" fillId="5" borderId="57" xfId="0" applyFont="1" applyFill="1" applyBorder="1" applyAlignment="1">
      <alignment horizontal="right"/>
    </xf>
    <xf numFmtId="166" fontId="5" fillId="15" borderId="91" xfId="0" applyNumberFormat="1" applyFont="1" applyFill="1" applyBorder="1" applyAlignment="1">
      <alignment horizontal="right"/>
    </xf>
    <xf numFmtId="172" fontId="5" fillId="15" borderId="57" xfId="0" applyNumberFormat="1" applyFont="1" applyFill="1" applyBorder="1" applyAlignment="1">
      <alignment horizontal="right"/>
    </xf>
    <xf numFmtId="165" fontId="5" fillId="15" borderId="92" xfId="0" applyNumberFormat="1" applyFont="1" applyFill="1" applyBorder="1" applyAlignment="1">
      <alignment horizontal="right"/>
    </xf>
    <xf numFmtId="165" fontId="5" fillId="5" borderId="57" xfId="0" applyNumberFormat="1" applyFont="1" applyFill="1" applyBorder="1" applyAlignment="1">
      <alignment horizontal="right"/>
    </xf>
    <xf numFmtId="2" fontId="5" fillId="5" borderId="57" xfId="0" applyNumberFormat="1" applyFont="1" applyFill="1" applyBorder="1" applyAlignment="1">
      <alignment horizontal="right"/>
    </xf>
    <xf numFmtId="0" fontId="5" fillId="5" borderId="91" xfId="0" applyFont="1" applyFill="1" applyBorder="1" applyAlignment="1">
      <alignment horizontal="right"/>
    </xf>
    <xf numFmtId="174" fontId="5" fillId="5" borderId="57" xfId="0" applyNumberFormat="1" applyFont="1" applyFill="1" applyBorder="1" applyAlignment="1">
      <alignment horizontal="right"/>
    </xf>
    <xf numFmtId="167" fontId="5" fillId="5" borderId="92" xfId="0" applyNumberFormat="1" applyFont="1" applyFill="1" applyBorder="1" applyAlignment="1">
      <alignment horizontal="right"/>
    </xf>
    <xf numFmtId="164" fontId="5" fillId="5" borderId="57" xfId="0" applyNumberFormat="1" applyFont="1" applyFill="1" applyBorder="1" applyAlignment="1">
      <alignment horizontal="right"/>
    </xf>
    <xf numFmtId="0" fontId="5" fillId="5" borderId="140" xfId="0" applyFont="1" applyFill="1" applyBorder="1" applyAlignment="1">
      <alignment horizontal="right"/>
    </xf>
    <xf numFmtId="0" fontId="0" fillId="3" borderId="59" xfId="0" applyNumberFormat="1" applyFont="1" applyFill="1" applyBorder="1" applyAlignment="1">
      <alignment horizontal="right" wrapText="1"/>
    </xf>
    <xf numFmtId="1" fontId="0" fillId="3" borderId="22" xfId="0" applyNumberFormat="1" applyFont="1" applyFill="1" applyBorder="1" applyAlignment="1">
      <alignment horizontal="right"/>
    </xf>
    <xf numFmtId="166" fontId="0" fillId="12" borderId="45" xfId="0" applyNumberFormat="1" applyFont="1" applyFill="1" applyBorder="1" applyAlignment="1">
      <alignment horizontal="right"/>
    </xf>
    <xf numFmtId="172" fontId="0" fillId="12" borderId="0" xfId="0" applyNumberFormat="1" applyFont="1" applyFill="1" applyBorder="1" applyAlignment="1">
      <alignment horizontal="right"/>
    </xf>
    <xf numFmtId="165" fontId="0" fillId="12" borderId="46" xfId="0" applyNumberFormat="1" applyFont="1" applyFill="1" applyBorder="1" applyAlignment="1">
      <alignment horizontal="right"/>
    </xf>
    <xf numFmtId="164" fontId="0" fillId="12" borderId="47" xfId="0" applyNumberFormat="1" applyFont="1" applyFill="1" applyBorder="1" applyAlignment="1">
      <alignment horizontal="right"/>
    </xf>
    <xf numFmtId="0" fontId="0" fillId="12" borderId="26" xfId="0" applyFont="1" applyFill="1" applyBorder="1" applyAlignment="1">
      <alignment horizontal="center"/>
    </xf>
    <xf numFmtId="2" fontId="0" fillId="12" borderId="26" xfId="0" applyNumberFormat="1" applyFont="1" applyFill="1" applyBorder="1" applyAlignment="1">
      <alignment horizontal="right"/>
    </xf>
    <xf numFmtId="166" fontId="0" fillId="12" borderId="47" xfId="0" applyNumberFormat="1" applyFont="1" applyFill="1" applyBorder="1" applyAlignment="1">
      <alignment horizontal="right"/>
    </xf>
    <xf numFmtId="165" fontId="0" fillId="2" borderId="0" xfId="0" applyNumberFormat="1" applyFont="1" applyBorder="1" applyAlignment="1">
      <alignment horizontal="right"/>
    </xf>
    <xf numFmtId="0" fontId="0" fillId="2" borderId="138" xfId="0" applyFont="1" applyBorder="1" applyAlignment="1">
      <alignment horizontal="right"/>
    </xf>
    <xf numFmtId="0" fontId="0" fillId="3" borderId="139" xfId="0" applyNumberFormat="1" applyFont="1" applyFill="1" applyBorder="1" applyAlignment="1">
      <alignment horizontal="right" wrapText="1"/>
    </xf>
    <xf numFmtId="0" fontId="0" fillId="3" borderId="57" xfId="0" applyFont="1" applyFill="1" applyBorder="1" applyAlignment="1">
      <alignment horizontal="left"/>
    </xf>
    <xf numFmtId="166" fontId="5" fillId="10" borderId="91" xfId="0" applyNumberFormat="1" applyFont="1" applyFill="1" applyBorder="1" applyAlignment="1">
      <alignment horizontal="right"/>
    </xf>
    <xf numFmtId="172" fontId="5" fillId="10" borderId="57" xfId="0" applyNumberFormat="1" applyFont="1" applyFill="1" applyBorder="1" applyAlignment="1">
      <alignment horizontal="right"/>
    </xf>
    <xf numFmtId="165" fontId="5" fillId="10" borderId="92" xfId="0" applyNumberFormat="1" applyFont="1" applyFill="1" applyBorder="1" applyAlignment="1">
      <alignment horizontal="right"/>
    </xf>
    <xf numFmtId="166" fontId="5" fillId="10" borderId="57" xfId="0" applyNumberFormat="1" applyFont="1" applyFill="1" applyBorder="1" applyAlignment="1">
      <alignment horizontal="center"/>
    </xf>
    <xf numFmtId="166" fontId="5" fillId="10" borderId="57" xfId="0" applyNumberFormat="1" applyFont="1" applyFill="1" applyBorder="1" applyAlignment="1">
      <alignment horizontal="right"/>
    </xf>
    <xf numFmtId="174" fontId="5" fillId="10" borderId="57" xfId="0" applyNumberFormat="1" applyFont="1" applyFill="1" applyBorder="1" applyAlignment="1">
      <alignment horizontal="right"/>
    </xf>
    <xf numFmtId="165" fontId="5" fillId="10" borderId="57" xfId="0" applyNumberFormat="1" applyFont="1" applyFill="1" applyBorder="1" applyAlignment="1">
      <alignment horizontal="right"/>
    </xf>
    <xf numFmtId="165" fontId="5" fillId="10" borderId="140" xfId="0" applyNumberFormat="1" applyFont="1" applyFill="1" applyBorder="1" applyAlignment="1">
      <alignment horizontal="right"/>
    </xf>
    <xf numFmtId="0" fontId="5" fillId="5" borderId="57" xfId="0" applyFont="1" applyFill="1" applyBorder="1" applyAlignment="1">
      <alignment horizontal="left"/>
    </xf>
    <xf numFmtId="165" fontId="5" fillId="15" borderId="91" xfId="0" applyNumberFormat="1" applyFont="1" applyFill="1" applyBorder="1" applyAlignment="1">
      <alignment horizontal="right"/>
    </xf>
    <xf numFmtId="2" fontId="5" fillId="15" borderId="57" xfId="0" applyNumberFormat="1" applyFont="1" applyFill="1" applyBorder="1" applyAlignment="1">
      <alignment horizontal="right"/>
    </xf>
    <xf numFmtId="0" fontId="5" fillId="15" borderId="91" xfId="0" applyFont="1" applyFill="1" applyBorder="1" applyAlignment="1">
      <alignment horizontal="right"/>
    </xf>
    <xf numFmtId="174" fontId="5" fillId="15" borderId="57" xfId="0" applyNumberFormat="1" applyFont="1" applyFill="1" applyBorder="1" applyAlignment="1">
      <alignment horizontal="right"/>
    </xf>
    <xf numFmtId="167" fontId="5" fillId="15" borderId="92" xfId="0" applyNumberFormat="1" applyFont="1" applyFill="1" applyBorder="1" applyAlignment="1">
      <alignment horizontal="right"/>
    </xf>
    <xf numFmtId="164" fontId="0" fillId="12" borderId="45" xfId="0" applyNumberFormat="1" applyFont="1" applyFill="1" applyBorder="1" applyAlignment="1">
      <alignment horizontal="right"/>
    </xf>
    <xf numFmtId="2" fontId="0" fillId="12" borderId="0" xfId="0" applyNumberFormat="1" applyFont="1" applyFill="1" applyBorder="1" applyAlignment="1">
      <alignment horizontal="right"/>
    </xf>
    <xf numFmtId="0" fontId="19" fillId="3" borderId="59" xfId="0" applyNumberFormat="1" applyFont="1" applyFill="1" applyBorder="1" applyAlignment="1">
      <alignment horizontal="right" wrapText="1"/>
    </xf>
    <xf numFmtId="0" fontId="0" fillId="3" borderId="22" xfId="0" applyFont="1" applyFill="1" applyBorder="1" applyAlignment="1">
      <alignment horizontal="right"/>
    </xf>
    <xf numFmtId="166" fontId="19" fillId="12" borderId="45" xfId="0" applyNumberFormat="1" applyFont="1" applyFill="1" applyBorder="1" applyAlignment="1">
      <alignment horizontal="right"/>
    </xf>
    <xf numFmtId="6" fontId="0" fillId="12" borderId="45" xfId="0" applyNumberFormat="1" applyFont="1" applyFill="1" applyBorder="1" applyAlignment="1">
      <alignment horizontal="right"/>
    </xf>
    <xf numFmtId="0" fontId="0" fillId="12" borderId="0" xfId="0" applyFont="1" applyFill="1" applyBorder="1" applyAlignment="1">
      <alignment horizontal="right"/>
    </xf>
    <xf numFmtId="174" fontId="0" fillId="12" borderId="46" xfId="0" applyNumberFormat="1" applyFont="1" applyFill="1" applyBorder="1" applyAlignment="1">
      <alignment horizontal="right"/>
    </xf>
    <xf numFmtId="0" fontId="0" fillId="0" borderId="138" xfId="0" applyFont="1" applyFill="1" applyBorder="1" applyAlignment="1">
      <alignment horizontal="right"/>
    </xf>
    <xf numFmtId="165" fontId="0" fillId="12" borderId="45" xfId="0" applyNumberFormat="1" applyFont="1" applyFill="1" applyBorder="1" applyAlignment="1">
      <alignment horizontal="right"/>
    </xf>
    <xf numFmtId="164" fontId="0" fillId="3" borderId="57" xfId="0" applyNumberFormat="1" applyFont="1" applyFill="1" applyBorder="1" applyAlignment="1">
      <alignment horizontal="left"/>
    </xf>
    <xf numFmtId="164" fontId="5" fillId="10" borderId="91" xfId="0" applyNumberFormat="1" applyFont="1" applyFill="1" applyBorder="1" applyAlignment="1">
      <alignment horizontal="right"/>
    </xf>
    <xf numFmtId="164" fontId="5" fillId="10" borderId="57" xfId="0" applyNumberFormat="1" applyFont="1" applyFill="1" applyBorder="1" applyAlignment="1">
      <alignment horizontal="center"/>
    </xf>
    <xf numFmtId="164" fontId="5" fillId="10" borderId="57" xfId="0" applyNumberFormat="1" applyFont="1" applyFill="1" applyBorder="1" applyAlignment="1">
      <alignment horizontal="right"/>
    </xf>
    <xf numFmtId="4" fontId="5" fillId="10" borderId="91" xfId="0" applyNumberFormat="1" applyFont="1" applyFill="1" applyBorder="1" applyAlignment="1">
      <alignment horizontal="right"/>
    </xf>
    <xf numFmtId="164" fontId="5" fillId="10" borderId="92" xfId="0" applyNumberFormat="1" applyFont="1" applyFill="1" applyBorder="1" applyAlignment="1">
      <alignment horizontal="right"/>
    </xf>
    <xf numFmtId="164" fontId="5" fillId="10" borderId="140" xfId="0" applyNumberFormat="1" applyFont="1" applyFill="1" applyBorder="1" applyAlignment="1">
      <alignment horizontal="right"/>
    </xf>
    <xf numFmtId="2" fontId="0" fillId="12" borderId="45" xfId="0" applyNumberFormat="1" applyFont="1" applyFill="1" applyBorder="1" applyAlignment="1">
      <alignment horizontal="right"/>
    </xf>
    <xf numFmtId="164" fontId="0" fillId="2" borderId="138" xfId="0" applyNumberFormat="1" applyFont="1" applyBorder="1" applyAlignment="1">
      <alignment horizontal="right"/>
    </xf>
    <xf numFmtId="0" fontId="0" fillId="2" borderId="0" xfId="0" applyFont="1" applyBorder="1" applyAlignment="1">
      <alignment horizontal="left" vertical="justify" wrapText="1"/>
    </xf>
    <xf numFmtId="1" fontId="0" fillId="3" borderId="57" xfId="0" applyNumberFormat="1" applyFont="1" applyFill="1" applyBorder="1" applyAlignment="1">
      <alignment horizontal="right"/>
    </xf>
    <xf numFmtId="2" fontId="0" fillId="3" borderId="57" xfId="0" applyNumberFormat="1" applyFont="1" applyFill="1" applyBorder="1" applyAlignment="1">
      <alignment horizontal="left"/>
    </xf>
    <xf numFmtId="2" fontId="5" fillId="10" borderId="91" xfId="0" applyNumberFormat="1" applyFont="1" applyFill="1" applyBorder="1" applyAlignment="1">
      <alignment horizontal="right"/>
    </xf>
    <xf numFmtId="1" fontId="5" fillId="5" borderId="57" xfId="0" applyNumberFormat="1" applyFont="1" applyFill="1" applyBorder="1" applyAlignment="1">
      <alignment horizontal="right"/>
    </xf>
    <xf numFmtId="2" fontId="5" fillId="15" borderId="57" xfId="0" applyNumberFormat="1" applyFont="1" applyFill="1" applyBorder="1" applyAlignment="1">
      <alignment horizontal="left"/>
    </xf>
    <xf numFmtId="164" fontId="5" fillId="15" borderId="91" xfId="0" applyNumberFormat="1" applyFont="1" applyFill="1" applyBorder="1" applyAlignment="1">
      <alignment horizontal="right"/>
    </xf>
    <xf numFmtId="0" fontId="0" fillId="12" borderId="45" xfId="0" applyFont="1" applyFill="1" applyBorder="1" applyAlignment="1">
      <alignment horizontal="right"/>
    </xf>
    <xf numFmtId="0" fontId="0" fillId="2" borderId="18" xfId="0" applyFont="1" applyBorder="1" applyAlignment="1">
      <alignment horizontal="left"/>
    </xf>
    <xf numFmtId="165" fontId="5" fillId="10" borderId="91" xfId="0" applyNumberFormat="1" applyFont="1" applyFill="1" applyBorder="1" applyAlignment="1">
      <alignment horizontal="right"/>
    </xf>
    <xf numFmtId="0" fontId="5" fillId="3" borderId="59" xfId="0" applyNumberFormat="1" applyFont="1" applyFill="1" applyBorder="1" applyAlignment="1">
      <alignment horizontal="right" wrapText="1"/>
    </xf>
    <xf numFmtId="1" fontId="0" fillId="3" borderId="0" xfId="0" applyNumberFormat="1" applyFont="1" applyFill="1" applyBorder="1" applyAlignment="1">
      <alignment horizontal="right"/>
    </xf>
    <xf numFmtId="0" fontId="5" fillId="5" borderId="139" xfId="0" applyNumberFormat="1" applyFont="1" applyFill="1" applyBorder="1" applyAlignment="1">
      <alignment horizontal="center" wrapText="1"/>
    </xf>
    <xf numFmtId="0" fontId="5" fillId="5" borderId="57" xfId="0" applyNumberFormat="1" applyFont="1" applyFill="1" applyBorder="1" applyAlignment="1">
      <alignment horizontal="center" wrapText="1"/>
    </xf>
    <xf numFmtId="2" fontId="0" fillId="12" borderId="45" xfId="0" applyNumberFormat="1" applyFont="1" applyFill="1" applyBorder="1"/>
    <xf numFmtId="1" fontId="0" fillId="3" borderId="25" xfId="0" applyNumberFormat="1" applyFont="1" applyFill="1" applyBorder="1" applyAlignment="1">
      <alignment horizontal="right"/>
    </xf>
    <xf numFmtId="18" fontId="0" fillId="12" borderId="0" xfId="0" applyNumberFormat="1" applyFont="1" applyFill="1" applyBorder="1" applyAlignment="1">
      <alignment horizontal="center"/>
    </xf>
    <xf numFmtId="1" fontId="0" fillId="3" borderId="92" xfId="0" applyNumberFormat="1" applyFont="1" applyFill="1" applyBorder="1" applyAlignment="1">
      <alignment horizontal="right"/>
    </xf>
    <xf numFmtId="169" fontId="5" fillId="10" borderId="91" xfId="0" applyNumberFormat="1" applyFont="1" applyFill="1" applyBorder="1" applyAlignment="1">
      <alignment horizontal="right"/>
    </xf>
    <xf numFmtId="169" fontId="5" fillId="10" borderId="57" xfId="0" applyNumberFormat="1" applyFont="1" applyFill="1" applyBorder="1" applyAlignment="1">
      <alignment horizontal="center"/>
    </xf>
    <xf numFmtId="169" fontId="5" fillId="10" borderId="57" xfId="0" applyNumberFormat="1" applyFont="1" applyFill="1" applyBorder="1" applyAlignment="1">
      <alignment horizontal="right"/>
    </xf>
    <xf numFmtId="169" fontId="5" fillId="10" borderId="92" xfId="0" applyNumberFormat="1" applyFont="1" applyFill="1" applyBorder="1" applyAlignment="1">
      <alignment horizontal="right"/>
    </xf>
    <xf numFmtId="164" fontId="5" fillId="5" borderId="140" xfId="0" applyNumberFormat="1" applyFont="1" applyFill="1" applyBorder="1" applyAlignment="1">
      <alignment horizontal="right"/>
    </xf>
    <xf numFmtId="2" fontId="0" fillId="10" borderId="57" xfId="0" applyNumberFormat="1" applyFont="1" applyFill="1" applyBorder="1" applyAlignment="1">
      <alignment horizontal="right"/>
    </xf>
    <xf numFmtId="1" fontId="5" fillId="5" borderId="62" xfId="0" applyNumberFormat="1" applyFont="1" applyFill="1" applyBorder="1" applyAlignment="1">
      <alignment horizontal="right"/>
    </xf>
    <xf numFmtId="0" fontId="5" fillId="5" borderId="61" xfId="0" applyNumberFormat="1" applyFont="1" applyFill="1" applyBorder="1" applyAlignment="1">
      <alignment horizontal="right" wrapText="1"/>
    </xf>
    <xf numFmtId="0" fontId="5" fillId="5" borderId="62" xfId="0" applyFont="1" applyFill="1" applyBorder="1" applyAlignment="1">
      <alignment horizontal="right"/>
    </xf>
    <xf numFmtId="2" fontId="0" fillId="5" borderId="62" xfId="0" applyNumberFormat="1" applyFont="1" applyFill="1" applyBorder="1" applyAlignment="1">
      <alignment horizontal="right"/>
    </xf>
    <xf numFmtId="166" fontId="5" fillId="12" borderId="152" xfId="0" applyNumberFormat="1" applyFont="1" applyFill="1" applyBorder="1" applyAlignment="1">
      <alignment horizontal="right"/>
    </xf>
    <xf numFmtId="172" fontId="5" fillId="12" borderId="62" xfId="0" applyNumberFormat="1" applyFont="1" applyFill="1" applyBorder="1" applyAlignment="1">
      <alignment horizontal="right"/>
    </xf>
    <xf numFmtId="165" fontId="5" fillId="12" borderId="153" xfId="0" applyNumberFormat="1" applyFont="1" applyFill="1" applyBorder="1" applyAlignment="1">
      <alignment horizontal="right"/>
    </xf>
    <xf numFmtId="166" fontId="5" fillId="12" borderId="62" xfId="0" applyNumberFormat="1" applyFont="1" applyFill="1" applyBorder="1" applyAlignment="1">
      <alignment horizontal="center"/>
    </xf>
    <xf numFmtId="166" fontId="5" fillId="12" borderId="62" xfId="0" applyNumberFormat="1" applyFont="1" applyFill="1" applyBorder="1" applyAlignment="1">
      <alignment horizontal="right"/>
    </xf>
    <xf numFmtId="2" fontId="5" fillId="12" borderId="152" xfId="0" applyNumberFormat="1" applyFont="1" applyFill="1" applyBorder="1" applyAlignment="1">
      <alignment horizontal="right"/>
    </xf>
    <xf numFmtId="174" fontId="5" fillId="12" borderId="62" xfId="0" applyNumberFormat="1" applyFont="1" applyFill="1" applyBorder="1" applyAlignment="1">
      <alignment horizontal="right"/>
    </xf>
    <xf numFmtId="165" fontId="5" fillId="5" borderId="62" xfId="0" applyNumberFormat="1" applyFont="1" applyFill="1" applyBorder="1" applyAlignment="1">
      <alignment horizontal="right"/>
    </xf>
    <xf numFmtId="165" fontId="5" fillId="5" borderId="154" xfId="0" applyNumberFormat="1" applyFont="1" applyFill="1" applyBorder="1" applyAlignment="1">
      <alignment horizontal="right"/>
    </xf>
    <xf numFmtId="165" fontId="0" fillId="2" borderId="0" xfId="0" applyNumberFormat="1" applyFont="1"/>
    <xf numFmtId="165" fontId="0" fillId="2" borderId="0" xfId="0" applyNumberFormat="1" applyFont="1" applyAlignment="1">
      <alignment horizontal="center"/>
    </xf>
    <xf numFmtId="166" fontId="0" fillId="25" borderId="45" xfId="0" applyNumberFormat="1" applyFont="1" applyFill="1" applyBorder="1" applyAlignment="1" applyProtection="1">
      <alignment horizontal="right"/>
      <protection locked="0"/>
    </xf>
    <xf numFmtId="164" fontId="0" fillId="25" borderId="45" xfId="0" applyNumberFormat="1" applyFont="1" applyFill="1" applyBorder="1" applyAlignment="1" applyProtection="1">
      <alignment horizontal="right"/>
      <protection locked="0"/>
    </xf>
    <xf numFmtId="2" fontId="0" fillId="25" borderId="45" xfId="0" applyNumberFormat="1" applyFont="1" applyFill="1" applyBorder="1" applyAlignment="1" applyProtection="1">
      <alignment horizontal="right"/>
      <protection locked="0"/>
    </xf>
    <xf numFmtId="165" fontId="0" fillId="0" borderId="0" xfId="0" applyNumberFormat="1" applyFont="1" applyFill="1"/>
    <xf numFmtId="174" fontId="0" fillId="0" borderId="0" xfId="0" applyNumberFormat="1" applyFont="1" applyFill="1"/>
    <xf numFmtId="165" fontId="5" fillId="5" borderId="28" xfId="0" applyNumberFormat="1" applyFont="1" applyFill="1" applyBorder="1" applyAlignment="1">
      <alignment horizontal="center"/>
    </xf>
    <xf numFmtId="165" fontId="5" fillId="5" borderId="149" xfId="0" applyNumberFormat="1" applyFont="1" applyFill="1" applyBorder="1" applyAlignment="1">
      <alignment horizontal="center"/>
    </xf>
    <xf numFmtId="0" fontId="5" fillId="5" borderId="60" xfId="0" applyFont="1" applyFill="1" applyBorder="1" applyAlignment="1">
      <alignment horizontal="center"/>
    </xf>
    <xf numFmtId="0" fontId="5" fillId="5" borderId="25" xfId="0" applyFont="1" applyFill="1" applyBorder="1" applyAlignment="1">
      <alignment horizontal="center"/>
    </xf>
    <xf numFmtId="0" fontId="5" fillId="5" borderId="33" xfId="0" applyFont="1" applyFill="1" applyBorder="1" applyAlignment="1">
      <alignment horizontal="center"/>
    </xf>
    <xf numFmtId="165" fontId="5" fillId="5" borderId="25" xfId="0" applyNumberFormat="1" applyFont="1" applyFill="1" applyBorder="1" applyAlignment="1">
      <alignment horizontal="center"/>
    </xf>
    <xf numFmtId="0" fontId="5" fillId="5" borderId="49" xfId="0" applyFont="1" applyFill="1" applyBorder="1" applyAlignment="1">
      <alignment horizontal="center"/>
    </xf>
    <xf numFmtId="174" fontId="5" fillId="5" borderId="25" xfId="0" applyNumberFormat="1" applyFont="1" applyFill="1" applyBorder="1" applyAlignment="1">
      <alignment horizontal="center"/>
    </xf>
    <xf numFmtId="0" fontId="5" fillId="5" borderId="148" xfId="0" applyFont="1" applyFill="1" applyBorder="1" applyAlignment="1">
      <alignment horizontal="center"/>
    </xf>
    <xf numFmtId="0" fontId="19" fillId="3" borderId="59" xfId="0" applyFont="1" applyFill="1" applyBorder="1"/>
    <xf numFmtId="0" fontId="5" fillId="3" borderId="0" xfId="0" applyFont="1" applyFill="1" applyBorder="1"/>
    <xf numFmtId="0" fontId="19" fillId="3" borderId="0" xfId="0" applyFont="1" applyFill="1" applyBorder="1" applyAlignment="1">
      <alignment horizontal="left"/>
    </xf>
    <xf numFmtId="0" fontId="19" fillId="3" borderId="0" xfId="0" applyFont="1" applyFill="1" applyBorder="1" applyAlignment="1">
      <alignment horizontal="center"/>
    </xf>
    <xf numFmtId="0" fontId="0" fillId="3" borderId="0" xfId="0" applyFont="1" applyFill="1" applyBorder="1"/>
    <xf numFmtId="0" fontId="19" fillId="3" borderId="45" xfId="0" applyFont="1" applyFill="1" applyBorder="1" applyAlignment="1">
      <alignment horizontal="left"/>
    </xf>
    <xf numFmtId="165" fontId="19" fillId="3" borderId="0" xfId="0" applyNumberFormat="1" applyFont="1" applyFill="1" applyBorder="1" applyAlignment="1">
      <alignment horizontal="left"/>
    </xf>
    <xf numFmtId="0" fontId="19" fillId="3" borderId="46" xfId="0" applyFont="1" applyFill="1" applyBorder="1" applyAlignment="1">
      <alignment horizontal="left"/>
    </xf>
    <xf numFmtId="174" fontId="19" fillId="3" borderId="0" xfId="0" applyNumberFormat="1" applyFont="1" applyFill="1" applyBorder="1" applyAlignment="1">
      <alignment horizontal="left"/>
    </xf>
    <xf numFmtId="0" fontId="5" fillId="3" borderId="0" xfId="0" applyFont="1" applyFill="1" applyBorder="1" applyAlignment="1">
      <alignment horizontal="center"/>
    </xf>
    <xf numFmtId="0" fontId="0" fillId="3" borderId="138" xfId="0" applyFont="1" applyFill="1" applyBorder="1" applyAlignment="1">
      <alignment horizontal="center"/>
    </xf>
    <xf numFmtId="0" fontId="5" fillId="5" borderId="57" xfId="0" applyFont="1" applyFill="1" applyBorder="1"/>
    <xf numFmtId="164" fontId="5" fillId="5" borderId="92" xfId="0" applyNumberFormat="1" applyFont="1" applyFill="1" applyBorder="1"/>
    <xf numFmtId="174" fontId="5" fillId="5" borderId="57" xfId="0" applyNumberFormat="1" applyFont="1" applyFill="1" applyBorder="1"/>
    <xf numFmtId="165" fontId="0" fillId="12" borderId="26" xfId="0" applyNumberFormat="1" applyFont="1" applyFill="1" applyBorder="1"/>
    <xf numFmtId="164" fontId="0" fillId="12" borderId="48" xfId="0" applyNumberFormat="1" applyFont="1" applyFill="1" applyBorder="1"/>
    <xf numFmtId="165" fontId="0" fillId="12" borderId="47" xfId="0" applyNumberFormat="1" applyFont="1" applyFill="1" applyBorder="1"/>
    <xf numFmtId="2" fontId="0" fillId="12" borderId="26" xfId="0" applyNumberFormat="1" applyFont="1" applyFill="1" applyBorder="1"/>
    <xf numFmtId="165" fontId="0" fillId="12" borderId="48" xfId="0" applyNumberFormat="1" applyFont="1" applyFill="1" applyBorder="1"/>
    <xf numFmtId="174" fontId="0" fillId="12" borderId="26" xfId="0" applyNumberFormat="1" applyFont="1" applyFill="1" applyBorder="1"/>
    <xf numFmtId="164" fontId="0" fillId="0" borderId="0" xfId="0" applyNumberFormat="1" applyFont="1" applyFill="1" applyBorder="1"/>
    <xf numFmtId="165" fontId="0" fillId="12" borderId="0" xfId="0" applyNumberFormat="1" applyFont="1" applyFill="1" applyBorder="1"/>
    <xf numFmtId="165" fontId="0" fillId="12" borderId="45" xfId="0" applyNumberFormat="1" applyFont="1" applyFill="1" applyBorder="1"/>
    <xf numFmtId="174" fontId="0" fillId="12" borderId="0" xfId="0" applyNumberFormat="1" applyFont="1" applyFill="1" applyBorder="1"/>
    <xf numFmtId="0" fontId="0" fillId="3" borderId="22" xfId="0" applyFont="1" applyFill="1" applyBorder="1" applyAlignment="1">
      <alignment horizontal="center"/>
    </xf>
    <xf numFmtId="37" fontId="0" fillId="0" borderId="0" xfId="0" applyNumberFormat="1" applyFont="1" applyFill="1" applyBorder="1" applyAlignment="1">
      <alignment horizontal="left"/>
    </xf>
    <xf numFmtId="0" fontId="0" fillId="12" borderId="45" xfId="0" applyFont="1" applyFill="1" applyBorder="1"/>
    <xf numFmtId="0" fontId="0" fillId="12" borderId="46" xfId="0" applyFont="1" applyFill="1" applyBorder="1"/>
    <xf numFmtId="10" fontId="0" fillId="0" borderId="0" xfId="0" applyNumberFormat="1" applyFont="1" applyFill="1" applyBorder="1" applyAlignment="1">
      <alignment horizontal="left"/>
    </xf>
    <xf numFmtId="39" fontId="0" fillId="0" borderId="0" xfId="0" applyNumberFormat="1" applyFont="1" applyFill="1" applyBorder="1" applyAlignment="1">
      <alignment horizontal="right"/>
    </xf>
    <xf numFmtId="4" fontId="0" fillId="12" borderId="0" xfId="0" applyNumberFormat="1" applyFont="1" applyFill="1" applyBorder="1"/>
    <xf numFmtId="0" fontId="0" fillId="2" borderId="138" xfId="0" applyFont="1" applyBorder="1"/>
    <xf numFmtId="9" fontId="0" fillId="0" borderId="0" xfId="0" applyNumberFormat="1" applyFont="1" applyFill="1" applyBorder="1" applyAlignment="1">
      <alignment horizontal="left"/>
    </xf>
    <xf numFmtId="43" fontId="0" fillId="12" borderId="0" xfId="0" applyNumberFormat="1" applyFont="1" applyFill="1" applyBorder="1"/>
    <xf numFmtId="165" fontId="5" fillId="10" borderId="91" xfId="0" applyNumberFormat="1" applyFont="1" applyFill="1" applyBorder="1"/>
    <xf numFmtId="2" fontId="5" fillId="10" borderId="91" xfId="0" applyNumberFormat="1" applyFont="1" applyFill="1" applyBorder="1"/>
    <xf numFmtId="164" fontId="5" fillId="15" borderId="92" xfId="0" applyNumberFormat="1" applyFont="1" applyFill="1" applyBorder="1"/>
    <xf numFmtId="2" fontId="5" fillId="15" borderId="91" xfId="0" applyNumberFormat="1" applyFont="1" applyFill="1" applyBorder="1"/>
    <xf numFmtId="174" fontId="5" fillId="15" borderId="57" xfId="0" applyNumberFormat="1" applyFont="1" applyFill="1" applyBorder="1"/>
    <xf numFmtId="0" fontId="0" fillId="0" borderId="18" xfId="0" applyFont="1" applyFill="1" applyBorder="1" applyAlignment="1">
      <alignment horizontal="left"/>
    </xf>
    <xf numFmtId="166" fontId="19" fillId="0" borderId="0" xfId="0" applyNumberFormat="1" applyFont="1" applyFill="1" applyBorder="1" applyAlignment="1">
      <alignment horizontal="left"/>
    </xf>
    <xf numFmtId="172" fontId="0" fillId="12" borderId="45" xfId="0" applyNumberFormat="1" applyFont="1" applyFill="1" applyBorder="1" applyAlignment="1">
      <alignment horizontal="right"/>
    </xf>
    <xf numFmtId="165" fontId="0" fillId="12" borderId="0" xfId="0" applyNumberFormat="1" applyFont="1" applyFill="1" applyBorder="1" applyAlignment="1">
      <alignment horizontal="right"/>
    </xf>
    <xf numFmtId="179" fontId="0" fillId="12" borderId="45" xfId="0" applyNumberFormat="1" applyFont="1" applyFill="1" applyBorder="1" applyAlignment="1">
      <alignment horizontal="right"/>
    </xf>
    <xf numFmtId="164" fontId="0" fillId="0" borderId="0" xfId="0" applyNumberFormat="1" applyFont="1" applyFill="1" applyBorder="1" applyAlignment="1">
      <alignment horizontal="right"/>
    </xf>
    <xf numFmtId="174" fontId="0" fillId="12" borderId="46" xfId="0" applyNumberFormat="1" applyFont="1" applyFill="1" applyBorder="1"/>
    <xf numFmtId="174" fontId="5" fillId="10" borderId="57" xfId="0" applyNumberFormat="1" applyFont="1" applyFill="1" applyBorder="1"/>
    <xf numFmtId="1" fontId="5" fillId="5" borderId="57" xfId="0" applyNumberFormat="1" applyFont="1" applyFill="1" applyBorder="1" applyAlignment="1">
      <alignment horizontal="center"/>
    </xf>
    <xf numFmtId="0" fontId="0" fillId="3" borderId="59" xfId="0" applyFont="1" applyFill="1" applyBorder="1" applyAlignment="1">
      <alignment horizontal="right"/>
    </xf>
    <xf numFmtId="166" fontId="0" fillId="0" borderId="0" xfId="0" applyNumberFormat="1" applyFont="1" applyFill="1" applyBorder="1" applyAlignment="1">
      <alignment horizontal="left"/>
    </xf>
    <xf numFmtId="164" fontId="0" fillId="12" borderId="0" xfId="0" applyNumberFormat="1" applyFont="1" applyFill="1" applyBorder="1" applyAlignment="1">
      <alignment horizontal="center"/>
    </xf>
    <xf numFmtId="165" fontId="0" fillId="0" borderId="138" xfId="0" applyNumberFormat="1" applyFont="1" applyFill="1" applyBorder="1" applyAlignment="1">
      <alignment horizontal="right"/>
    </xf>
    <xf numFmtId="165" fontId="0" fillId="12" borderId="0" xfId="0" applyNumberFormat="1" applyFont="1" applyFill="1" applyBorder="1" applyAlignment="1">
      <alignment horizontal="center"/>
    </xf>
    <xf numFmtId="4" fontId="0" fillId="12" borderId="0" xfId="0" applyNumberFormat="1" applyFont="1" applyFill="1" applyBorder="1" applyAlignment="1">
      <alignment horizontal="right"/>
    </xf>
    <xf numFmtId="164" fontId="5" fillId="10" borderId="92" xfId="0" applyNumberFormat="1" applyFont="1" applyFill="1" applyBorder="1"/>
    <xf numFmtId="0" fontId="5" fillId="3" borderId="59" xfId="0" applyFont="1" applyFill="1" applyBorder="1"/>
    <xf numFmtId="165" fontId="34" fillId="12" borderId="46" xfId="0" applyNumberFormat="1" applyFont="1" applyFill="1" applyBorder="1"/>
    <xf numFmtId="0" fontId="0" fillId="0" borderId="26" xfId="0" applyFont="1" applyFill="1" applyBorder="1"/>
    <xf numFmtId="2" fontId="0" fillId="0" borderId="26" xfId="0" applyNumberFormat="1" applyFont="1" applyFill="1" applyBorder="1" applyAlignment="1">
      <alignment horizontal="left"/>
    </xf>
    <xf numFmtId="2" fontId="0" fillId="12" borderId="47" xfId="0" applyNumberFormat="1" applyFont="1" applyFill="1" applyBorder="1"/>
    <xf numFmtId="164" fontId="0" fillId="0" borderId="26" xfId="0" applyNumberFormat="1" applyFont="1" applyFill="1" applyBorder="1"/>
    <xf numFmtId="0" fontId="0" fillId="0" borderId="143" xfId="0" applyFont="1" applyFill="1" applyBorder="1"/>
    <xf numFmtId="169" fontId="0" fillId="12" borderId="46" xfId="0" applyNumberFormat="1" applyFont="1" applyFill="1" applyBorder="1"/>
    <xf numFmtId="0" fontId="0" fillId="3" borderId="22" xfId="0" applyFont="1" applyFill="1" applyBorder="1"/>
    <xf numFmtId="1" fontId="0" fillId="3" borderId="0" xfId="0" applyNumberFormat="1" applyFont="1" applyFill="1" applyBorder="1" applyAlignment="1">
      <alignment horizontal="center"/>
    </xf>
    <xf numFmtId="0" fontId="0" fillId="0" borderId="18" xfId="0" applyFont="1" applyFill="1" applyBorder="1"/>
    <xf numFmtId="164" fontId="0" fillId="12" borderId="0" xfId="0" applyNumberFormat="1" applyFont="1" applyFill="1" applyBorder="1" applyAlignment="1">
      <alignment horizontal="right"/>
    </xf>
    <xf numFmtId="0" fontId="0" fillId="3" borderId="0" xfId="0" applyFont="1" applyFill="1" applyBorder="1" applyAlignment="1">
      <alignment horizontal="center"/>
    </xf>
    <xf numFmtId="0" fontId="0" fillId="0" borderId="6" xfId="0" applyFont="1" applyFill="1" applyBorder="1"/>
    <xf numFmtId="165" fontId="5" fillId="10" borderId="57" xfId="0" applyNumberFormat="1" applyFont="1" applyFill="1" applyBorder="1" applyAlignment="1">
      <alignment horizontal="center"/>
    </xf>
    <xf numFmtId="165" fontId="5" fillId="10" borderId="92" xfId="0" applyNumberFormat="1" applyFont="1" applyFill="1" applyBorder="1" applyAlignment="1"/>
    <xf numFmtId="0" fontId="0" fillId="3" borderId="155" xfId="0" applyFont="1" applyFill="1" applyBorder="1"/>
    <xf numFmtId="1" fontId="0" fillId="3" borderId="156" xfId="0" applyNumberFormat="1" applyFont="1" applyFill="1" applyBorder="1" applyAlignment="1">
      <alignment horizontal="center"/>
    </xf>
    <xf numFmtId="169" fontId="5" fillId="10" borderId="57" xfId="0" applyNumberFormat="1" applyFont="1" applyFill="1" applyBorder="1"/>
    <xf numFmtId="164" fontId="5" fillId="5" borderId="140" xfId="0" applyNumberFormat="1" applyFont="1" applyFill="1" applyBorder="1"/>
    <xf numFmtId="164" fontId="0" fillId="2" borderId="0" xfId="0" applyNumberFormat="1" applyFont="1" applyBorder="1" applyAlignment="1">
      <alignment horizontal="right"/>
    </xf>
    <xf numFmtId="0" fontId="5" fillId="5" borderId="61" xfId="0" applyFont="1" applyFill="1" applyBorder="1"/>
    <xf numFmtId="0" fontId="5" fillId="5" borderId="62" xfId="0" applyFont="1" applyFill="1" applyBorder="1"/>
    <xf numFmtId="2" fontId="5" fillId="5" borderId="62" xfId="0" applyNumberFormat="1" applyFont="1" applyFill="1" applyBorder="1"/>
    <xf numFmtId="166" fontId="5" fillId="15" borderId="152" xfId="0" applyNumberFormat="1" applyFont="1" applyFill="1" applyBorder="1"/>
    <xf numFmtId="165" fontId="5" fillId="15" borderId="62" xfId="0" applyNumberFormat="1" applyFont="1" applyFill="1" applyBorder="1"/>
    <xf numFmtId="165" fontId="5" fillId="15" borderId="153" xfId="0" applyNumberFormat="1" applyFont="1" applyFill="1" applyBorder="1"/>
    <xf numFmtId="165" fontId="5" fillId="15" borderId="152" xfId="0" applyNumberFormat="1" applyFont="1" applyFill="1" applyBorder="1"/>
    <xf numFmtId="165" fontId="5" fillId="15" borderId="62" xfId="0" applyNumberFormat="1" applyFont="1" applyFill="1" applyBorder="1" applyAlignment="1">
      <alignment horizontal="center"/>
    </xf>
    <xf numFmtId="2" fontId="5" fillId="15" borderId="152" xfId="0" applyNumberFormat="1" applyFont="1" applyFill="1" applyBorder="1"/>
    <xf numFmtId="164" fontId="5" fillId="5" borderId="62" xfId="0" applyNumberFormat="1" applyFont="1" applyFill="1" applyBorder="1"/>
    <xf numFmtId="165" fontId="5" fillId="5" borderId="154" xfId="0" applyNumberFormat="1" applyFont="1" applyFill="1" applyBorder="1"/>
    <xf numFmtId="44" fontId="0" fillId="2" borderId="0" xfId="0" applyNumberFormat="1" applyFont="1"/>
    <xf numFmtId="164" fontId="0" fillId="2" borderId="0" xfId="0" applyNumberFormat="1" applyFont="1" applyAlignment="1">
      <alignment horizontal="center"/>
    </xf>
    <xf numFmtId="164" fontId="0" fillId="0" borderId="0" xfId="0" applyNumberFormat="1" applyFont="1" applyFill="1" applyBorder="1" applyAlignment="1">
      <alignment horizontal="center"/>
    </xf>
    <xf numFmtId="164" fontId="0" fillId="25" borderId="45" xfId="0" applyNumberFormat="1" applyFont="1" applyFill="1" applyBorder="1" applyProtection="1">
      <protection locked="0"/>
    </xf>
    <xf numFmtId="2" fontId="0" fillId="25" borderId="45" xfId="0" applyNumberFormat="1" applyFont="1" applyFill="1" applyBorder="1" applyProtection="1">
      <protection locked="0"/>
    </xf>
    <xf numFmtId="0" fontId="0" fillId="2" borderId="0" xfId="0" applyFont="1" applyAlignment="1">
      <alignment horizontal="left"/>
    </xf>
    <xf numFmtId="1" fontId="0" fillId="12" borderId="0" xfId="0" applyNumberFormat="1" applyFont="1" applyFill="1" applyBorder="1"/>
    <xf numFmtId="9" fontId="0" fillId="2" borderId="0" xfId="0" applyNumberFormat="1" applyFont="1" applyAlignment="1">
      <alignment horizontal="left"/>
    </xf>
    <xf numFmtId="174" fontId="0" fillId="0" borderId="0" xfId="0" applyNumberFormat="1" applyFont="1" applyFill="1" applyBorder="1"/>
    <xf numFmtId="165" fontId="0" fillId="0" borderId="26" xfId="0" applyNumberFormat="1" applyFont="1" applyFill="1" applyBorder="1"/>
    <xf numFmtId="2" fontId="5" fillId="10" borderId="57" xfId="0" applyNumberFormat="1" applyFont="1" applyFill="1" applyBorder="1" applyAlignment="1">
      <alignment horizontal="left"/>
    </xf>
    <xf numFmtId="164" fontId="0" fillId="12" borderId="46" xfId="0" applyNumberFormat="1" applyFont="1" applyFill="1" applyBorder="1" applyAlignment="1">
      <alignment horizontal="right"/>
    </xf>
    <xf numFmtId="2" fontId="5" fillId="5" borderId="62" xfId="0" applyNumberFormat="1" applyFont="1" applyFill="1" applyBorder="1" applyAlignment="1">
      <alignment horizontal="left"/>
    </xf>
    <xf numFmtId="0" fontId="5" fillId="15" borderId="152" xfId="0" applyNumberFormat="1" applyFont="1" applyFill="1" applyBorder="1"/>
    <xf numFmtId="4" fontId="5" fillId="15" borderId="152" xfId="0" applyNumberFormat="1" applyFont="1" applyFill="1" applyBorder="1"/>
    <xf numFmtId="165" fontId="0" fillId="0" borderId="0" xfId="0" applyNumberFormat="1" applyFont="1" applyFill="1" applyBorder="1" applyAlignment="1">
      <alignment horizontal="center"/>
    </xf>
    <xf numFmtId="41" fontId="0" fillId="3" borderId="158" xfId="0" applyNumberFormat="1" applyFont="1" applyFill="1" applyBorder="1" applyAlignment="1">
      <alignment horizontal="center"/>
    </xf>
    <xf numFmtId="41" fontId="0" fillId="4" borderId="158" xfId="0" applyNumberFormat="1" applyFont="1" applyFill="1" applyBorder="1" applyAlignment="1">
      <alignment horizontal="center"/>
    </xf>
    <xf numFmtId="41" fontId="0" fillId="3" borderId="43" xfId="0" applyNumberFormat="1" applyFont="1" applyFill="1" applyBorder="1" applyAlignment="1">
      <alignment horizontal="center"/>
    </xf>
    <xf numFmtId="4" fontId="0" fillId="3" borderId="15" xfId="0" applyNumberFormat="1" applyFont="1" applyFill="1" applyBorder="1" applyAlignment="1">
      <alignment horizontal="center"/>
    </xf>
    <xf numFmtId="8" fontId="0" fillId="2" borderId="138" xfId="0" applyNumberFormat="1" applyFont="1" applyBorder="1"/>
    <xf numFmtId="8" fontId="0" fillId="4" borderId="15" xfId="0" applyNumberFormat="1" applyFont="1" applyFill="1" applyBorder="1"/>
    <xf numFmtId="8" fontId="0" fillId="2" borderId="15" xfId="0" applyNumberFormat="1" applyFont="1" applyBorder="1"/>
    <xf numFmtId="4" fontId="0" fillId="4" borderId="15" xfId="0" applyNumberFormat="1" applyFont="1" applyFill="1" applyBorder="1" applyAlignment="1">
      <alignment horizontal="center"/>
    </xf>
    <xf numFmtId="8" fontId="0" fillId="4" borderId="138" xfId="0" applyNumberFormat="1" applyFont="1" applyFill="1" applyBorder="1"/>
    <xf numFmtId="4" fontId="0" fillId="3" borderId="159" xfId="0" applyNumberFormat="1" applyFont="1" applyFill="1" applyBorder="1" applyAlignment="1">
      <alignment horizontal="center"/>
    </xf>
    <xf numFmtId="8" fontId="0" fillId="2" borderId="159" xfId="0" applyNumberFormat="1" applyFont="1" applyBorder="1"/>
    <xf numFmtId="8" fontId="0" fillId="4" borderId="159" xfId="0" applyNumberFormat="1" applyFont="1" applyFill="1" applyBorder="1"/>
    <xf numFmtId="8" fontId="0" fillId="2" borderId="82" xfId="0" applyNumberFormat="1" applyFont="1" applyBorder="1"/>
    <xf numFmtId="10" fontId="0" fillId="2" borderId="0" xfId="0" applyNumberFormat="1" applyFont="1" applyAlignment="1">
      <alignment horizontal="center"/>
    </xf>
    <xf numFmtId="0" fontId="0" fillId="2" borderId="18" xfId="0" applyFont="1" applyBorder="1" applyAlignment="1">
      <alignment horizontal="center"/>
    </xf>
    <xf numFmtId="0" fontId="0" fillId="2" borderId="0" xfId="0" applyFont="1" applyBorder="1" applyAlignment="1">
      <alignment horizontal="center"/>
    </xf>
    <xf numFmtId="0" fontId="0" fillId="2" borderId="22" xfId="0" applyFont="1" applyBorder="1" applyAlignment="1">
      <alignment horizontal="center"/>
    </xf>
    <xf numFmtId="192" fontId="0" fillId="2" borderId="18" xfId="0" applyNumberFormat="1" applyFont="1" applyBorder="1" applyAlignment="1">
      <alignment horizontal="center"/>
    </xf>
    <xf numFmtId="192" fontId="0" fillId="2" borderId="0" xfId="0" applyNumberFormat="1" applyFont="1" applyBorder="1" applyAlignment="1">
      <alignment horizontal="center"/>
    </xf>
    <xf numFmtId="192" fontId="0" fillId="12" borderId="22" xfId="0" applyNumberFormat="1" applyFont="1" applyFill="1" applyBorder="1" applyAlignment="1">
      <alignment horizontal="center"/>
    </xf>
    <xf numFmtId="195" fontId="0" fillId="3" borderId="15" xfId="0" applyNumberFormat="1" applyFont="1" applyFill="1" applyBorder="1" applyAlignment="1">
      <alignment horizontal="center"/>
    </xf>
    <xf numFmtId="192" fontId="0" fillId="4" borderId="18" xfId="0" applyNumberFormat="1" applyFont="1" applyFill="1" applyBorder="1" applyAlignment="1">
      <alignment horizontal="center"/>
    </xf>
    <xf numFmtId="192" fontId="0" fillId="4" borderId="0" xfId="0" applyNumberFormat="1" applyFont="1" applyFill="1" applyBorder="1" applyAlignment="1">
      <alignment horizontal="center"/>
    </xf>
    <xf numFmtId="192" fontId="0" fillId="11" borderId="22" xfId="0" applyNumberFormat="1" applyFont="1" applyFill="1" applyBorder="1" applyAlignment="1">
      <alignment horizontal="center"/>
    </xf>
    <xf numFmtId="195" fontId="0" fillId="4" borderId="15" xfId="0" applyNumberFormat="1" applyFont="1" applyFill="1" applyBorder="1" applyAlignment="1">
      <alignment horizontal="center"/>
    </xf>
    <xf numFmtId="192" fontId="0" fillId="2" borderId="41" xfId="0" applyNumberFormat="1" applyFont="1" applyBorder="1" applyAlignment="1">
      <alignment horizontal="center"/>
    </xf>
    <xf numFmtId="192" fontId="0" fillId="2" borderId="23" xfId="0" applyNumberFormat="1" applyFont="1" applyBorder="1" applyAlignment="1">
      <alignment horizontal="center"/>
    </xf>
    <xf numFmtId="192" fontId="0" fillId="12" borderId="42" xfId="0" applyNumberFormat="1" applyFont="1" applyFill="1" applyBorder="1" applyAlignment="1">
      <alignment horizontal="center"/>
    </xf>
    <xf numFmtId="195" fontId="0" fillId="3" borderId="159" xfId="0" applyNumberFormat="1" applyFont="1" applyFill="1" applyBorder="1" applyAlignment="1">
      <alignment horizontal="center"/>
    </xf>
    <xf numFmtId="3" fontId="0" fillId="0" borderId="45" xfId="0" applyNumberFormat="1" applyFont="1" applyFill="1" applyBorder="1" applyAlignment="1">
      <alignment horizontal="center"/>
    </xf>
    <xf numFmtId="180" fontId="0" fillId="0" borderId="19" xfId="0" applyNumberFormat="1" applyFont="1" applyFill="1" applyBorder="1" applyAlignment="1">
      <alignment horizontal="center"/>
    </xf>
    <xf numFmtId="180" fontId="0" fillId="0" borderId="22" xfId="0" applyNumberFormat="1" applyFont="1" applyFill="1" applyBorder="1" applyAlignment="1">
      <alignment horizontal="center"/>
    </xf>
    <xf numFmtId="6" fontId="0" fillId="2" borderId="99" xfId="0" applyNumberFormat="1" applyFont="1" applyBorder="1"/>
    <xf numFmtId="180" fontId="0" fillId="2" borderId="0" xfId="0" applyNumberFormat="1" applyFont="1" applyBorder="1"/>
    <xf numFmtId="6" fontId="0" fillId="2" borderId="97" xfId="0" applyNumberFormat="1" applyFont="1" applyBorder="1"/>
    <xf numFmtId="3" fontId="0" fillId="4" borderId="45" xfId="0" applyNumberFormat="1" applyFont="1" applyFill="1" applyBorder="1" applyAlignment="1">
      <alignment horizontal="center"/>
    </xf>
    <xf numFmtId="165" fontId="0" fillId="4" borderId="0" xfId="0" applyNumberFormat="1" applyFont="1" applyFill="1" applyBorder="1" applyAlignment="1">
      <alignment horizontal="center"/>
    </xf>
    <xf numFmtId="164" fontId="0" fillId="4" borderId="0" xfId="0" applyNumberFormat="1" applyFont="1" applyFill="1" applyBorder="1" applyAlignment="1">
      <alignment horizontal="center"/>
    </xf>
    <xf numFmtId="180" fontId="0" fillId="4" borderId="19" xfId="0" applyNumberFormat="1" applyFont="1" applyFill="1" applyBorder="1" applyAlignment="1">
      <alignment horizontal="center"/>
    </xf>
    <xf numFmtId="180" fontId="0" fillId="4" borderId="22" xfId="0" applyNumberFormat="1" applyFont="1" applyFill="1" applyBorder="1" applyAlignment="1">
      <alignment horizontal="center"/>
    </xf>
    <xf numFmtId="6" fontId="0" fillId="4" borderId="97" xfId="0" applyNumberFormat="1" applyFont="1" applyFill="1" applyBorder="1"/>
    <xf numFmtId="3" fontId="0" fillId="0" borderId="33" xfId="0" applyNumberFormat="1" applyFont="1" applyFill="1" applyBorder="1" applyAlignment="1">
      <alignment horizontal="center"/>
    </xf>
    <xf numFmtId="165" fontId="0" fillId="0" borderId="25" xfId="0" applyNumberFormat="1" applyFont="1" applyFill="1" applyBorder="1" applyAlignment="1">
      <alignment horizontal="center"/>
    </xf>
    <xf numFmtId="164" fontId="0" fillId="0" borderId="49" xfId="0" applyNumberFormat="1" applyFont="1" applyFill="1" applyBorder="1" applyAlignment="1">
      <alignment horizontal="center"/>
    </xf>
    <xf numFmtId="180" fontId="0" fillId="0" borderId="35" xfId="0" applyNumberFormat="1" applyFont="1" applyFill="1" applyBorder="1" applyAlignment="1">
      <alignment horizontal="center"/>
    </xf>
    <xf numFmtId="180" fontId="0" fillId="0" borderId="160" xfId="0" applyNumberFormat="1" applyFont="1" applyFill="1" applyBorder="1" applyAlignment="1">
      <alignment horizontal="center"/>
    </xf>
    <xf numFmtId="6" fontId="0" fillId="2" borderId="161" xfId="0" applyNumberFormat="1" applyFont="1" applyBorder="1"/>
    <xf numFmtId="180" fontId="0" fillId="0" borderId="0" xfId="0" applyNumberFormat="1" applyFont="1" applyFill="1" applyBorder="1" applyAlignment="1">
      <alignment horizontal="center"/>
    </xf>
    <xf numFmtId="186" fontId="0" fillId="0" borderId="0" xfId="0" applyNumberFormat="1" applyFont="1" applyFill="1" applyBorder="1" applyAlignment="1">
      <alignment horizontal="center"/>
    </xf>
    <xf numFmtId="3" fontId="0" fillId="0" borderId="18" xfId="0" applyNumberFormat="1" applyFont="1" applyFill="1" applyBorder="1" applyAlignment="1">
      <alignment horizontal="center"/>
    </xf>
    <xf numFmtId="4" fontId="0" fillId="0" borderId="14" xfId="0" applyNumberFormat="1" applyFont="1" applyFill="1" applyBorder="1" applyAlignment="1">
      <alignment horizontal="center"/>
    </xf>
    <xf numFmtId="164" fontId="0" fillId="0" borderId="19" xfId="0" applyNumberFormat="1" applyFont="1" applyFill="1" applyBorder="1" applyAlignment="1">
      <alignment horizontal="center"/>
    </xf>
    <xf numFmtId="164" fontId="0" fillId="0" borderId="22" xfId="0" applyNumberFormat="1" applyFont="1" applyFill="1" applyBorder="1" applyAlignment="1">
      <alignment horizontal="center"/>
    </xf>
    <xf numFmtId="8" fontId="0" fillId="2" borderId="77" xfId="0" applyNumberFormat="1" applyFont="1" applyBorder="1"/>
    <xf numFmtId="4" fontId="0" fillId="0" borderId="19" xfId="0" applyNumberFormat="1" applyFont="1" applyFill="1" applyBorder="1" applyAlignment="1">
      <alignment horizontal="center"/>
    </xf>
    <xf numFmtId="8" fontId="0" fillId="2" borderId="162" xfId="0" applyNumberFormat="1" applyFont="1" applyBorder="1"/>
    <xf numFmtId="186" fontId="0" fillId="4" borderId="0" xfId="0" applyNumberFormat="1" applyFont="1" applyFill="1" applyBorder="1" applyAlignment="1">
      <alignment horizontal="center"/>
    </xf>
    <xf numFmtId="3" fontId="0" fillId="26" borderId="18" xfId="0" applyNumberFormat="1" applyFont="1" applyFill="1" applyBorder="1" applyAlignment="1">
      <alignment horizontal="center"/>
    </xf>
    <xf numFmtId="4" fontId="0" fillId="26" borderId="19" xfId="0" applyNumberFormat="1" applyFont="1" applyFill="1" applyBorder="1" applyAlignment="1">
      <alignment horizontal="center"/>
    </xf>
    <xf numFmtId="164" fontId="0" fillId="26" borderId="19" xfId="0" applyNumberFormat="1" applyFont="1" applyFill="1" applyBorder="1" applyAlignment="1">
      <alignment horizontal="center"/>
    </xf>
    <xf numFmtId="164" fontId="0" fillId="26" borderId="22" xfId="0" applyNumberFormat="1" applyFont="1" applyFill="1" applyBorder="1" applyAlignment="1">
      <alignment horizontal="center"/>
    </xf>
    <xf numFmtId="8" fontId="0" fillId="26" borderId="162" xfId="0" applyNumberFormat="1" applyFont="1" applyFill="1" applyBorder="1"/>
    <xf numFmtId="180" fontId="0" fillId="2" borderId="19" xfId="0" applyNumberFormat="1" applyFont="1" applyBorder="1"/>
    <xf numFmtId="186" fontId="0" fillId="0" borderId="25" xfId="0" applyNumberFormat="1" applyFont="1" applyFill="1" applyBorder="1" applyAlignment="1">
      <alignment horizontal="center"/>
    </xf>
    <xf numFmtId="3" fontId="0" fillId="0" borderId="41" xfId="0" applyNumberFormat="1" applyFont="1" applyFill="1" applyBorder="1" applyAlignment="1">
      <alignment horizontal="center"/>
    </xf>
    <xf numFmtId="4" fontId="0" fillId="0" borderId="35" xfId="0" applyNumberFormat="1" applyFont="1" applyFill="1" applyBorder="1" applyAlignment="1">
      <alignment horizontal="center"/>
    </xf>
    <xf numFmtId="164" fontId="0" fillId="0" borderId="35" xfId="0" applyNumberFormat="1" applyFont="1" applyFill="1" applyBorder="1" applyAlignment="1">
      <alignment horizontal="center"/>
    </xf>
    <xf numFmtId="164" fontId="0" fillId="0" borderId="42" xfId="0" applyNumberFormat="1" applyFont="1" applyFill="1" applyBorder="1" applyAlignment="1">
      <alignment horizontal="center"/>
    </xf>
    <xf numFmtId="180" fontId="0" fillId="0" borderId="0" xfId="0" applyNumberFormat="1" applyFont="1" applyFill="1" applyBorder="1"/>
    <xf numFmtId="8" fontId="0" fillId="2" borderId="99" xfId="0" applyNumberFormat="1" applyFont="1" applyBorder="1"/>
    <xf numFmtId="8" fontId="0" fillId="2" borderId="97" xfId="0" applyNumberFormat="1" applyFont="1" applyBorder="1"/>
    <xf numFmtId="8" fontId="0" fillId="26" borderId="97" xfId="0" applyNumberFormat="1" applyFont="1" applyFill="1" applyBorder="1"/>
    <xf numFmtId="8" fontId="0" fillId="2" borderId="162" xfId="0" applyNumberFormat="1" applyFont="1" applyBorder="1" applyAlignment="1">
      <alignment horizontal="center"/>
    </xf>
    <xf numFmtId="3" fontId="0" fillId="4" borderId="18" xfId="0" applyNumberFormat="1" applyFont="1" applyFill="1" applyBorder="1" applyAlignment="1">
      <alignment horizontal="center"/>
    </xf>
    <xf numFmtId="4" fontId="0" fillId="4" borderId="19" xfId="0" applyNumberFormat="1" applyFont="1" applyFill="1" applyBorder="1" applyAlignment="1">
      <alignment horizontal="center"/>
    </xf>
    <xf numFmtId="164" fontId="0" fillId="4" borderId="19" xfId="0" applyNumberFormat="1" applyFont="1" applyFill="1" applyBorder="1" applyAlignment="1">
      <alignment horizontal="center"/>
    </xf>
    <xf numFmtId="164" fontId="0" fillId="4" borderId="22" xfId="0" applyNumberFormat="1" applyFont="1" applyFill="1" applyBorder="1" applyAlignment="1">
      <alignment horizontal="center"/>
    </xf>
    <xf numFmtId="8" fontId="0" fillId="4" borderId="162" xfId="0" applyNumberFormat="1" applyFont="1" applyFill="1" applyBorder="1" applyAlignment="1">
      <alignment horizontal="center"/>
    </xf>
    <xf numFmtId="3" fontId="0" fillId="0" borderId="0" xfId="0" applyNumberFormat="1" applyFont="1" applyFill="1" applyBorder="1" applyAlignment="1">
      <alignment horizontal="center"/>
    </xf>
    <xf numFmtId="4" fontId="0" fillId="0" borderId="0" xfId="0" applyNumberFormat="1" applyFont="1" applyFill="1" applyBorder="1" applyAlignment="1">
      <alignment horizontal="center"/>
    </xf>
    <xf numFmtId="164" fontId="0" fillId="2" borderId="0" xfId="0" applyNumberFormat="1" applyFont="1" applyBorder="1"/>
    <xf numFmtId="164" fontId="0" fillId="0" borderId="14" xfId="0" applyNumberFormat="1" applyFont="1" applyFill="1" applyBorder="1" applyAlignment="1">
      <alignment horizontal="center"/>
    </xf>
    <xf numFmtId="0" fontId="4" fillId="2" borderId="0" xfId="0" applyFont="1" applyAlignment="1">
      <alignment horizontal="left" vertical="top" wrapText="1"/>
    </xf>
    <xf numFmtId="0" fontId="22" fillId="2" borderId="0" xfId="0" applyFont="1" applyAlignment="1">
      <alignment horizontal="center"/>
    </xf>
    <xf numFmtId="17" fontId="4" fillId="2" borderId="0" xfId="0" applyNumberFormat="1" applyFont="1" applyAlignment="1">
      <alignment horizontal="center"/>
    </xf>
    <xf numFmtId="0" fontId="4" fillId="2" borderId="0" xfId="0" applyFont="1" applyAlignment="1">
      <alignment horizontal="center"/>
    </xf>
    <xf numFmtId="0" fontId="4" fillId="2" borderId="0" xfId="0" applyFont="1" applyAlignment="1">
      <alignment horizontal="left" vertical="top" wrapText="1" readingOrder="1"/>
    </xf>
    <xf numFmtId="0" fontId="5" fillId="2" borderId="0" xfId="0" applyFont="1" applyAlignment="1">
      <alignment horizontal="center"/>
    </xf>
    <xf numFmtId="0" fontId="0" fillId="17" borderId="0" xfId="0" applyFont="1" applyFill="1" applyAlignment="1">
      <alignment horizontal="center"/>
    </xf>
    <xf numFmtId="0" fontId="0" fillId="17" borderId="0" xfId="0" applyFill="1" applyAlignment="1">
      <alignment horizontal="center"/>
    </xf>
    <xf numFmtId="0" fontId="0" fillId="2" borderId="0" xfId="0" applyAlignment="1">
      <alignment horizontal="left"/>
    </xf>
    <xf numFmtId="0" fontId="4" fillId="2" borderId="26" xfId="0" applyFont="1" applyBorder="1" applyAlignment="1">
      <alignment horizontal="center"/>
    </xf>
    <xf numFmtId="0" fontId="5" fillId="0" borderId="0" xfId="0" applyFont="1" applyFill="1" applyAlignment="1">
      <alignment horizontal="center"/>
    </xf>
    <xf numFmtId="0" fontId="0" fillId="2" borderId="0" xfId="0" applyFont="1" applyBorder="1" applyAlignment="1">
      <alignment horizontal="left"/>
    </xf>
    <xf numFmtId="0" fontId="0" fillId="2" borderId="26" xfId="0" applyFont="1" applyBorder="1" applyAlignment="1">
      <alignment horizontal="center"/>
    </xf>
    <xf numFmtId="0" fontId="0" fillId="2" borderId="26" xfId="0" applyBorder="1" applyAlignment="1">
      <alignment horizontal="center"/>
    </xf>
    <xf numFmtId="0" fontId="0" fillId="2" borderId="25" xfId="0" applyBorder="1" applyAlignment="1">
      <alignment horizontal="center"/>
    </xf>
    <xf numFmtId="0" fontId="0" fillId="16" borderId="0" xfId="0" applyFill="1" applyAlignment="1">
      <alignment horizontal="center"/>
    </xf>
    <xf numFmtId="0" fontId="4" fillId="16" borderId="0" xfId="0" applyFont="1" applyFill="1" applyAlignment="1">
      <alignment horizontal="center"/>
    </xf>
    <xf numFmtId="0" fontId="0" fillId="2" borderId="55" xfId="0" applyBorder="1" applyAlignment="1">
      <alignment horizontal="center" vertical="center" wrapText="1"/>
    </xf>
    <xf numFmtId="0" fontId="0" fillId="2" borderId="44" xfId="0" applyBorder="1" applyAlignment="1">
      <alignment horizontal="center" vertical="center" wrapText="1"/>
    </xf>
    <xf numFmtId="0" fontId="0" fillId="2" borderId="56" xfId="0" applyBorder="1" applyAlignment="1">
      <alignment horizontal="center" vertical="center" wrapText="1"/>
    </xf>
    <xf numFmtId="0" fontId="0" fillId="2" borderId="51" xfId="0" applyBorder="1" applyAlignment="1">
      <alignment horizontal="center" vertical="center" wrapText="1"/>
    </xf>
    <xf numFmtId="0" fontId="0" fillId="2" borderId="38" xfId="0" applyBorder="1" applyAlignment="1">
      <alignment horizontal="center" vertical="center" wrapText="1"/>
    </xf>
    <xf numFmtId="0" fontId="0" fillId="2" borderId="39" xfId="0" applyBorder="1" applyAlignment="1">
      <alignment horizontal="center" vertical="center" wrapText="1"/>
    </xf>
    <xf numFmtId="0" fontId="0" fillId="2" borderId="40" xfId="0" applyBorder="1" applyAlignment="1">
      <alignment horizontal="center" vertical="center" wrapText="1"/>
    </xf>
    <xf numFmtId="0" fontId="0" fillId="2" borderId="47" xfId="0" applyBorder="1" applyAlignment="1">
      <alignment horizontal="center" vertical="center" wrapText="1"/>
    </xf>
    <xf numFmtId="0" fontId="0" fillId="2" borderId="48" xfId="0" applyBorder="1" applyAlignment="1">
      <alignment horizontal="center" vertical="center" wrapText="1"/>
    </xf>
    <xf numFmtId="0" fontId="0" fillId="2" borderId="45" xfId="0" applyBorder="1" applyAlignment="1">
      <alignment horizontal="center" vertical="center" wrapText="1"/>
    </xf>
    <xf numFmtId="0" fontId="0" fillId="2" borderId="46" xfId="0" applyBorder="1" applyAlignment="1">
      <alignment horizontal="center" vertical="center" wrapText="1"/>
    </xf>
    <xf numFmtId="0" fontId="0" fillId="2" borderId="33" xfId="0" applyBorder="1" applyAlignment="1">
      <alignment horizontal="center" vertical="center" wrapText="1"/>
    </xf>
    <xf numFmtId="0" fontId="0" fillId="2" borderId="49" xfId="0" applyBorder="1" applyAlignment="1">
      <alignment horizontal="center" vertical="center" wrapText="1"/>
    </xf>
    <xf numFmtId="0" fontId="0" fillId="2" borderId="0" xfId="0" applyFont="1" applyAlignment="1">
      <alignment horizontal="center"/>
    </xf>
    <xf numFmtId="0" fontId="5" fillId="2" borderId="0" xfId="0" applyFont="1" applyBorder="1" applyAlignment="1">
      <alignment horizontal="center"/>
    </xf>
    <xf numFmtId="164" fontId="5" fillId="4" borderId="20" xfId="0" applyNumberFormat="1" applyFont="1" applyFill="1" applyBorder="1" applyAlignment="1">
      <alignment horizontal="center"/>
    </xf>
    <xf numFmtId="164" fontId="5" fillId="4" borderId="43" xfId="0" applyNumberFormat="1" applyFont="1" applyFill="1" applyBorder="1" applyAlignment="1">
      <alignment horizontal="center"/>
    </xf>
    <xf numFmtId="0" fontId="5" fillId="0" borderId="0" xfId="0" applyFont="1" applyFill="1" applyAlignment="1">
      <alignment horizontal="left"/>
    </xf>
    <xf numFmtId="0" fontId="0" fillId="2" borderId="0" xfId="0" applyAlignment="1"/>
    <xf numFmtId="0" fontId="0" fillId="2" borderId="0" xfId="0" applyAlignment="1">
      <alignment horizontal="center"/>
    </xf>
    <xf numFmtId="2" fontId="0" fillId="6" borderId="0" xfId="0" applyNumberFormat="1" applyFill="1" applyAlignment="1" applyProtection="1">
      <alignment horizontal="right"/>
      <protection locked="0"/>
    </xf>
    <xf numFmtId="164" fontId="5" fillId="4" borderId="82" xfId="0" applyNumberFormat="1" applyFont="1" applyFill="1" applyBorder="1" applyAlignment="1">
      <alignment horizontal="right"/>
    </xf>
    <xf numFmtId="164" fontId="5" fillId="4" borderId="83" xfId="0" applyNumberFormat="1" applyFont="1" applyFill="1" applyBorder="1" applyAlignment="1">
      <alignment horizontal="right"/>
    </xf>
    <xf numFmtId="0" fontId="5" fillId="2" borderId="0" xfId="0" applyFont="1" applyAlignment="1"/>
    <xf numFmtId="0" fontId="0" fillId="6" borderId="0" xfId="0" applyFill="1" applyAlignment="1" applyProtection="1">
      <alignment horizontal="left"/>
      <protection locked="0"/>
    </xf>
    <xf numFmtId="0" fontId="5" fillId="0" borderId="23" xfId="0" applyFont="1" applyFill="1" applyBorder="1" applyAlignment="1">
      <alignment horizontal="left"/>
    </xf>
    <xf numFmtId="4" fontId="18" fillId="4" borderId="58" xfId="0" applyNumberFormat="1" applyFont="1" applyFill="1" applyBorder="1" applyAlignment="1">
      <alignment horizontal="right"/>
    </xf>
    <xf numFmtId="4" fontId="18" fillId="4" borderId="81" xfId="0" applyNumberFormat="1" applyFont="1" applyFill="1" applyBorder="1" applyAlignment="1">
      <alignment horizontal="right"/>
    </xf>
    <xf numFmtId="0" fontId="0" fillId="2" borderId="0" xfId="0" applyAlignment="1" applyProtection="1">
      <alignment horizontal="center"/>
      <protection locked="0"/>
    </xf>
    <xf numFmtId="4" fontId="0" fillId="6" borderId="0" xfId="0" applyNumberFormat="1" applyFill="1" applyAlignment="1" applyProtection="1">
      <alignment horizontal="right"/>
      <protection locked="0"/>
    </xf>
    <xf numFmtId="2" fontId="0" fillId="2" borderId="0" xfId="0" applyNumberFormat="1" applyAlignment="1"/>
    <xf numFmtId="4" fontId="0" fillId="6" borderId="0" xfId="0" applyNumberFormat="1" applyFill="1" applyAlignment="1" applyProtection="1">
      <protection locked="0"/>
    </xf>
    <xf numFmtId="164" fontId="5" fillId="4" borderId="20" xfId="0" applyNumberFormat="1" applyFont="1" applyFill="1" applyBorder="1" applyAlignment="1"/>
    <xf numFmtId="164" fontId="5" fillId="4" borderId="43" xfId="0" applyNumberFormat="1" applyFont="1" applyFill="1" applyBorder="1" applyAlignment="1"/>
    <xf numFmtId="0" fontId="5" fillId="0" borderId="0" xfId="0" applyFont="1" applyFill="1" applyAlignment="1"/>
    <xf numFmtId="10" fontId="0" fillId="6" borderId="0" xfId="0" applyNumberFormat="1" applyFill="1" applyAlignment="1" applyProtection="1">
      <alignment horizontal="center"/>
      <protection locked="0"/>
    </xf>
    <xf numFmtId="0" fontId="0" fillId="6" borderId="0" xfId="0" applyFill="1" applyAlignment="1" applyProtection="1">
      <alignment horizontal="center"/>
      <protection locked="0"/>
    </xf>
    <xf numFmtId="2" fontId="0" fillId="2" borderId="0" xfId="0" applyNumberFormat="1" applyAlignment="1">
      <alignment horizontal="right"/>
    </xf>
    <xf numFmtId="4" fontId="0" fillId="2" borderId="0" xfId="0" applyNumberFormat="1" applyAlignment="1"/>
    <xf numFmtId="164" fontId="5" fillId="4" borderId="0" xfId="0" applyNumberFormat="1" applyFont="1" applyFill="1" applyAlignment="1"/>
    <xf numFmtId="0" fontId="17" fillId="6" borderId="0" xfId="0" applyFont="1" applyFill="1" applyAlignment="1" applyProtection="1">
      <protection locked="0"/>
    </xf>
    <xf numFmtId="164" fontId="0" fillId="2" borderId="0" xfId="0" applyNumberFormat="1" applyAlignment="1">
      <alignment horizontal="right"/>
    </xf>
    <xf numFmtId="0" fontId="0" fillId="0" borderId="18" xfId="0" applyFont="1" applyFill="1" applyBorder="1" applyAlignment="1">
      <alignment horizontal="left"/>
    </xf>
    <xf numFmtId="0" fontId="0" fillId="0" borderId="0" xfId="0" applyFont="1" applyFill="1" applyBorder="1" applyAlignment="1">
      <alignment horizontal="left"/>
    </xf>
    <xf numFmtId="1" fontId="0" fillId="0" borderId="18" xfId="0" applyNumberFormat="1" applyFont="1" applyFill="1" applyBorder="1" applyAlignment="1">
      <alignment horizontal="left"/>
    </xf>
    <xf numFmtId="1" fontId="0" fillId="0" borderId="0" xfId="0" applyNumberFormat="1" applyFont="1" applyFill="1" applyBorder="1" applyAlignment="1">
      <alignment horizontal="left"/>
    </xf>
    <xf numFmtId="0" fontId="10" fillId="0" borderId="0" xfId="0" applyFont="1" applyFill="1" applyAlignment="1">
      <alignment horizontal="center"/>
    </xf>
    <xf numFmtId="0" fontId="5" fillId="0" borderId="8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86" xfId="0" applyFont="1" applyFill="1" applyBorder="1" applyAlignment="1">
      <alignment horizontal="center" vertical="justify"/>
    </xf>
    <xf numFmtId="0" fontId="0" fillId="2" borderId="21" xfId="0" applyFont="1" applyBorder="1"/>
    <xf numFmtId="0" fontId="0" fillId="2" borderId="157" xfId="0" applyFont="1" applyBorder="1"/>
    <xf numFmtId="0" fontId="5" fillId="0" borderId="84" xfId="0" applyFont="1" applyFill="1" applyBorder="1" applyAlignment="1">
      <alignment horizontal="center" vertical="top"/>
    </xf>
    <xf numFmtId="0" fontId="5" fillId="0" borderId="24" xfId="0" applyFont="1" applyFill="1" applyBorder="1" applyAlignment="1">
      <alignment horizontal="center" vertical="top"/>
    </xf>
    <xf numFmtId="0" fontId="5" fillId="0" borderId="85" xfId="0" applyFont="1" applyFill="1" applyBorder="1" applyAlignment="1">
      <alignment horizontal="center" vertical="top"/>
    </xf>
    <xf numFmtId="0" fontId="5" fillId="0" borderId="2" xfId="0" applyFont="1" applyFill="1" applyBorder="1" applyAlignment="1">
      <alignment horizontal="center" vertical="justify"/>
    </xf>
    <xf numFmtId="0" fontId="5" fillId="0" borderId="28" xfId="0" applyFont="1" applyFill="1" applyBorder="1" applyAlignment="1">
      <alignment horizontal="center" vertical="justify"/>
    </xf>
    <xf numFmtId="0" fontId="5" fillId="0" borderId="4" xfId="0" applyFont="1" applyFill="1" applyBorder="1" applyAlignment="1">
      <alignment horizontal="center" vertical="justify"/>
    </xf>
    <xf numFmtId="0" fontId="5" fillId="0" borderId="87" xfId="0" applyFont="1" applyFill="1" applyBorder="1" applyAlignment="1">
      <alignment horizontal="center" vertical="center" wrapText="1"/>
    </xf>
    <xf numFmtId="0" fontId="5" fillId="0" borderId="88" xfId="0" applyFont="1" applyFill="1" applyBorder="1" applyAlignment="1">
      <alignment horizontal="center" vertical="center" wrapText="1"/>
    </xf>
    <xf numFmtId="0" fontId="5" fillId="0" borderId="28" xfId="0" applyFont="1" applyFill="1" applyBorder="1" applyAlignment="1">
      <alignment horizontal="center" vertical="center" wrapText="1"/>
    </xf>
    <xf numFmtId="4" fontId="5" fillId="0" borderId="89" xfId="0" applyNumberFormat="1" applyFont="1" applyFill="1" applyBorder="1" applyAlignment="1">
      <alignment horizontal="center" vertical="center" wrapText="1"/>
    </xf>
    <xf numFmtId="4" fontId="5" fillId="0" borderId="90" xfId="0" applyNumberFormat="1" applyFont="1" applyFill="1" applyBorder="1" applyAlignment="1">
      <alignment horizontal="center" vertical="center" wrapText="1"/>
    </xf>
    <xf numFmtId="0" fontId="5" fillId="0" borderId="91" xfId="5" applyFont="1" applyBorder="1" applyAlignment="1" applyProtection="1">
      <alignment horizontal="center"/>
      <protection hidden="1"/>
    </xf>
    <xf numFmtId="0" fontId="5" fillId="0" borderId="57" xfId="5" applyFont="1" applyBorder="1" applyAlignment="1" applyProtection="1">
      <alignment horizontal="center"/>
      <protection hidden="1"/>
    </xf>
    <xf numFmtId="0" fontId="5" fillId="0" borderId="92" xfId="5" applyFont="1" applyBorder="1" applyAlignment="1" applyProtection="1">
      <alignment horizontal="center"/>
      <protection hidden="1"/>
    </xf>
    <xf numFmtId="0" fontId="5" fillId="0" borderId="91" xfId="5" applyFont="1" applyBorder="1" applyAlignment="1">
      <alignment horizontal="center"/>
    </xf>
    <xf numFmtId="0" fontId="5" fillId="0" borderId="57" xfId="5" applyFont="1" applyBorder="1" applyAlignment="1">
      <alignment horizontal="center"/>
    </xf>
    <xf numFmtId="0" fontId="5" fillId="0" borderId="92" xfId="5" applyFont="1" applyBorder="1" applyAlignment="1">
      <alignment horizontal="center"/>
    </xf>
    <xf numFmtId="0" fontId="17" fillId="21" borderId="0" xfId="5" applyFont="1" applyFill="1" applyAlignment="1" applyProtection="1">
      <protection locked="0"/>
    </xf>
    <xf numFmtId="0" fontId="5" fillId="0" borderId="0" xfId="5" applyFont="1" applyAlignment="1" applyProtection="1">
      <protection hidden="1"/>
    </xf>
    <xf numFmtId="0" fontId="35" fillId="0" borderId="0" xfId="5" applyAlignment="1" applyProtection="1">
      <protection hidden="1"/>
    </xf>
    <xf numFmtId="0" fontId="35" fillId="0" borderId="0" xfId="5" applyAlignment="1" applyProtection="1">
      <alignment horizontal="center"/>
      <protection hidden="1"/>
    </xf>
    <xf numFmtId="164" fontId="35" fillId="0" borderId="0" xfId="5" applyNumberFormat="1" applyAlignment="1" applyProtection="1">
      <alignment horizontal="right"/>
      <protection hidden="1"/>
    </xf>
    <xf numFmtId="4" fontId="35" fillId="0" borderId="0" xfId="5" applyNumberFormat="1" applyAlignment="1" applyProtection="1">
      <protection hidden="1"/>
    </xf>
    <xf numFmtId="10" fontId="35" fillId="21" borderId="0" xfId="5" applyNumberFormat="1" applyFill="1" applyAlignment="1" applyProtection="1">
      <alignment horizontal="center"/>
      <protection locked="0"/>
    </xf>
    <xf numFmtId="2" fontId="35" fillId="0" borderId="0" xfId="5" applyNumberFormat="1" applyAlignment="1" applyProtection="1">
      <alignment horizontal="right"/>
      <protection hidden="1"/>
    </xf>
    <xf numFmtId="0" fontId="35" fillId="21" borderId="0" xfId="5" applyFill="1" applyAlignment="1" applyProtection="1">
      <alignment horizontal="center"/>
      <protection locked="0"/>
    </xf>
    <xf numFmtId="0" fontId="35" fillId="0" borderId="0" xfId="5" applyAlignment="1"/>
    <xf numFmtId="0" fontId="4" fillId="0" borderId="0" xfId="5" applyFont="1" applyAlignment="1" applyProtection="1">
      <alignment horizontal="center"/>
      <protection hidden="1"/>
    </xf>
    <xf numFmtId="2" fontId="35" fillId="0" borderId="0" xfId="5" applyNumberFormat="1" applyAlignment="1" applyProtection="1">
      <protection hidden="1"/>
    </xf>
    <xf numFmtId="0" fontId="5" fillId="0" borderId="0" xfId="5" applyFont="1" applyFill="1" applyAlignment="1" applyProtection="1">
      <protection hidden="1"/>
    </xf>
    <xf numFmtId="164" fontId="5" fillId="4" borderId="20" xfId="5" applyNumberFormat="1" applyFont="1" applyFill="1" applyBorder="1" applyAlignment="1" applyProtection="1">
      <protection hidden="1"/>
    </xf>
    <xf numFmtId="164" fontId="5" fillId="4" borderId="43" xfId="5" applyNumberFormat="1" applyFont="1" applyFill="1" applyBorder="1" applyAlignment="1" applyProtection="1">
      <protection hidden="1"/>
    </xf>
    <xf numFmtId="4" fontId="35" fillId="21" borderId="0" xfId="5" applyNumberFormat="1" applyFill="1" applyAlignment="1" applyProtection="1">
      <alignment horizontal="right"/>
      <protection locked="0"/>
    </xf>
    <xf numFmtId="4" fontId="35" fillId="21" borderId="0" xfId="5" applyNumberFormat="1" applyFill="1" applyAlignment="1" applyProtection="1">
      <protection locked="0"/>
    </xf>
    <xf numFmtId="2" fontId="35" fillId="21" borderId="0" xfId="5" applyNumberFormat="1" applyFill="1" applyAlignment="1" applyProtection="1">
      <alignment horizontal="right"/>
      <protection locked="0"/>
    </xf>
    <xf numFmtId="0" fontId="35" fillId="21" borderId="0" xfId="5" applyFill="1" applyAlignment="1" applyProtection="1">
      <alignment horizontal="left"/>
      <protection locked="0"/>
    </xf>
    <xf numFmtId="0" fontId="5" fillId="0" borderId="23" xfId="5" applyFont="1" applyFill="1" applyBorder="1" applyAlignment="1" applyProtection="1">
      <alignment horizontal="left"/>
      <protection hidden="1"/>
    </xf>
    <xf numFmtId="4" fontId="18" fillId="4" borderId="58" xfId="5" applyNumberFormat="1" applyFont="1" applyFill="1" applyBorder="1" applyAlignment="1" applyProtection="1">
      <alignment horizontal="right"/>
      <protection hidden="1"/>
    </xf>
    <xf numFmtId="4" fontId="18" fillId="4" borderId="81" xfId="5" applyNumberFormat="1" applyFont="1" applyFill="1" applyBorder="1" applyAlignment="1" applyProtection="1">
      <alignment horizontal="right"/>
      <protection hidden="1"/>
    </xf>
    <xf numFmtId="0" fontId="5" fillId="0" borderId="0" xfId="5" applyFont="1" applyFill="1" applyAlignment="1" applyProtection="1">
      <alignment horizontal="left"/>
      <protection hidden="1"/>
    </xf>
    <xf numFmtId="164" fontId="5" fillId="4" borderId="82" xfId="5" applyNumberFormat="1" applyFont="1" applyFill="1" applyBorder="1" applyAlignment="1" applyProtection="1">
      <alignment horizontal="right"/>
      <protection hidden="1"/>
    </xf>
    <xf numFmtId="164" fontId="5" fillId="4" borderId="83" xfId="5" applyNumberFormat="1" applyFont="1" applyFill="1" applyBorder="1" applyAlignment="1" applyProtection="1">
      <alignment horizontal="right"/>
      <protection hidden="1"/>
    </xf>
    <xf numFmtId="164" fontId="5" fillId="4" borderId="20" xfId="5" applyNumberFormat="1" applyFont="1" applyFill="1" applyBorder="1" applyAlignment="1" applyProtection="1">
      <alignment horizontal="center"/>
      <protection hidden="1"/>
    </xf>
    <xf numFmtId="164" fontId="5" fillId="4" borderId="43" xfId="5" applyNumberFormat="1" applyFont="1" applyFill="1" applyBorder="1" applyAlignment="1" applyProtection="1">
      <alignment horizontal="center"/>
      <protection hidden="1"/>
    </xf>
    <xf numFmtId="0" fontId="10" fillId="0" borderId="0" xfId="5" applyFont="1" applyBorder="1" applyAlignment="1">
      <alignment horizontal="center"/>
    </xf>
    <xf numFmtId="0" fontId="10" fillId="0" borderId="0" xfId="5" applyFont="1" applyBorder="1" applyAlignment="1">
      <alignment horizontal="center" vertical="center"/>
    </xf>
    <xf numFmtId="0" fontId="5" fillId="0" borderId="0" xfId="5" applyFont="1" applyAlignment="1">
      <alignment horizontal="center"/>
    </xf>
    <xf numFmtId="0" fontId="4" fillId="13" borderId="94" xfId="5" applyNumberFormat="1" applyFont="1" applyFill="1" applyBorder="1" applyAlignment="1">
      <alignment horizontal="left" vertical="center" wrapText="1"/>
    </xf>
    <xf numFmtId="0" fontId="4" fillId="13" borderId="69" xfId="5" applyNumberFormat="1" applyFont="1" applyFill="1" applyBorder="1" applyAlignment="1">
      <alignment horizontal="left" vertical="center" wrapText="1"/>
    </xf>
    <xf numFmtId="0" fontId="13" fillId="21" borderId="45" xfId="5" applyFont="1" applyFill="1" applyBorder="1" applyAlignment="1" applyProtection="1">
      <alignment horizontal="left" vertical="center"/>
      <protection locked="0"/>
    </xf>
    <xf numFmtId="0" fontId="13" fillId="21" borderId="0" xfId="5" applyFont="1" applyFill="1" applyBorder="1" applyAlignment="1" applyProtection="1">
      <alignment horizontal="left" vertical="center"/>
      <protection locked="0"/>
    </xf>
    <xf numFmtId="0" fontId="13" fillId="21" borderId="22" xfId="5" applyFont="1" applyFill="1" applyBorder="1" applyAlignment="1" applyProtection="1">
      <alignment horizontal="left" vertical="center"/>
      <protection locked="0"/>
    </xf>
    <xf numFmtId="0" fontId="13" fillId="0" borderId="26" xfId="5" applyFont="1" applyBorder="1" applyAlignment="1">
      <alignment horizontal="left" vertical="center"/>
    </xf>
    <xf numFmtId="0" fontId="37" fillId="21" borderId="45" xfId="5" applyFont="1" applyFill="1" applyBorder="1" applyAlignment="1" applyProtection="1">
      <alignment horizontal="left" vertical="center"/>
      <protection locked="0"/>
    </xf>
    <xf numFmtId="0" fontId="37" fillId="21" borderId="0" xfId="5" applyFont="1" applyFill="1" applyBorder="1" applyAlignment="1" applyProtection="1">
      <alignment horizontal="left" vertical="center"/>
      <protection locked="0"/>
    </xf>
    <xf numFmtId="0" fontId="37" fillId="21" borderId="22" xfId="5" applyFont="1" applyFill="1" applyBorder="1" applyAlignment="1" applyProtection="1">
      <alignment horizontal="left" vertical="center"/>
      <protection locked="0"/>
    </xf>
    <xf numFmtId="0" fontId="13" fillId="21" borderId="33" xfId="5" applyFont="1" applyFill="1" applyBorder="1" applyAlignment="1" applyProtection="1">
      <alignment horizontal="left" vertical="center"/>
      <protection locked="0"/>
    </xf>
    <xf numFmtId="0" fontId="13" fillId="21" borderId="25" xfId="5" applyFont="1" applyFill="1" applyBorder="1" applyAlignment="1" applyProtection="1">
      <alignment horizontal="left" vertical="center"/>
      <protection locked="0"/>
    </xf>
    <xf numFmtId="0" fontId="13" fillId="21" borderId="11" xfId="5" applyFont="1" applyFill="1" applyBorder="1" applyAlignment="1" applyProtection="1">
      <alignment horizontal="left" vertical="center"/>
      <protection locked="0"/>
    </xf>
    <xf numFmtId="0" fontId="35" fillId="21" borderId="33" xfId="5" applyFill="1" applyBorder="1" applyAlignment="1" applyProtection="1">
      <alignment horizontal="left"/>
      <protection locked="0"/>
    </xf>
    <xf numFmtId="0" fontId="35" fillId="21" borderId="25" xfId="5" applyFill="1" applyBorder="1" applyAlignment="1" applyProtection="1">
      <alignment horizontal="left"/>
      <protection locked="0"/>
    </xf>
    <xf numFmtId="0" fontId="35" fillId="21" borderId="11" xfId="5" applyFill="1" applyBorder="1" applyAlignment="1" applyProtection="1">
      <alignment horizontal="left"/>
      <protection locked="0"/>
    </xf>
    <xf numFmtId="0" fontId="36" fillId="19" borderId="91" xfId="5" applyFont="1" applyFill="1" applyBorder="1" applyAlignment="1">
      <alignment horizontal="center"/>
    </xf>
    <xf numFmtId="0" fontId="36" fillId="19" borderId="57" xfId="5" applyFont="1" applyFill="1" applyBorder="1" applyAlignment="1">
      <alignment horizontal="center"/>
    </xf>
    <xf numFmtId="0" fontId="36" fillId="19" borderId="92" xfId="5" applyFont="1" applyFill="1" applyBorder="1" applyAlignment="1">
      <alignment horizontal="center"/>
    </xf>
    <xf numFmtId="0" fontId="37" fillId="12" borderId="47" xfId="5" applyFont="1" applyFill="1" applyBorder="1" applyAlignment="1">
      <alignment horizontal="left" vertical="center"/>
    </xf>
    <xf numFmtId="0" fontId="37" fillId="12" borderId="93" xfId="5" applyFont="1" applyFill="1" applyBorder="1" applyAlignment="1">
      <alignment horizontal="left" vertical="center"/>
    </xf>
    <xf numFmtId="0" fontId="37" fillId="12" borderId="45" xfId="5" applyFont="1" applyFill="1" applyBorder="1" applyAlignment="1">
      <alignment horizontal="left" vertical="center"/>
    </xf>
    <xf numFmtId="0" fontId="37" fillId="12" borderId="22" xfId="5" applyFont="1" applyFill="1" applyBorder="1" applyAlignment="1">
      <alignment horizontal="left" vertical="center"/>
    </xf>
    <xf numFmtId="0" fontId="37" fillId="12" borderId="33" xfId="5" applyFont="1" applyFill="1" applyBorder="1" applyAlignment="1">
      <alignment horizontal="left" vertical="center"/>
    </xf>
    <xf numFmtId="0" fontId="37" fillId="12" borderId="11" xfId="5" applyFont="1" applyFill="1" applyBorder="1" applyAlignment="1">
      <alignment horizontal="left" vertical="center"/>
    </xf>
    <xf numFmtId="0" fontId="13" fillId="0" borderId="0" xfId="5" applyFont="1" applyBorder="1" applyAlignment="1">
      <alignment horizontal="left" vertical="center"/>
    </xf>
    <xf numFmtId="0" fontId="21" fillId="19" borderId="91" xfId="5" applyFont="1" applyFill="1" applyBorder="1" applyAlignment="1">
      <alignment horizontal="center" vertical="center"/>
    </xf>
    <xf numFmtId="0" fontId="21" fillId="19" borderId="57" xfId="5" applyFont="1" applyFill="1" applyBorder="1" applyAlignment="1">
      <alignment horizontal="center" vertical="center"/>
    </xf>
    <xf numFmtId="0" fontId="21" fillId="19" borderId="92" xfId="5" applyFont="1" applyFill="1" applyBorder="1" applyAlignment="1">
      <alignment horizontal="center" vertical="center"/>
    </xf>
    <xf numFmtId="0" fontId="4" fillId="19" borderId="94" xfId="5" applyFont="1" applyFill="1" applyBorder="1" applyAlignment="1">
      <alignment horizontal="left" vertical="center"/>
    </xf>
    <xf numFmtId="0" fontId="4" fillId="19" borderId="69" xfId="5" applyFont="1" applyFill="1" applyBorder="1" applyAlignment="1">
      <alignment horizontal="left" vertical="center"/>
    </xf>
    <xf numFmtId="0" fontId="4" fillId="19" borderId="68" xfId="5" applyFont="1" applyFill="1" applyBorder="1" applyAlignment="1">
      <alignment horizontal="left" vertical="center"/>
    </xf>
    <xf numFmtId="0" fontId="4" fillId="19" borderId="95" xfId="5" applyFont="1" applyFill="1" applyBorder="1" applyAlignment="1">
      <alignment horizontal="left" vertical="center"/>
    </xf>
    <xf numFmtId="0" fontId="4" fillId="19" borderId="44" xfId="5" applyFont="1" applyFill="1" applyBorder="1" applyAlignment="1">
      <alignment horizontal="left" vertical="center"/>
    </xf>
    <xf numFmtId="0" fontId="4" fillId="19" borderId="56" xfId="5" applyFont="1" applyFill="1" applyBorder="1" applyAlignment="1">
      <alignment horizontal="left" vertical="center"/>
    </xf>
    <xf numFmtId="0" fontId="37" fillId="21" borderId="66" xfId="5" applyFont="1" applyFill="1" applyBorder="1" applyAlignment="1" applyProtection="1">
      <alignment horizontal="left" vertical="center"/>
      <protection locked="0"/>
    </xf>
    <xf numFmtId="0" fontId="37" fillId="21" borderId="39" xfId="5" applyFont="1" applyFill="1" applyBorder="1" applyAlignment="1" applyProtection="1">
      <alignment horizontal="left" vertical="center"/>
      <protection locked="0"/>
    </xf>
    <xf numFmtId="0" fontId="37" fillId="21" borderId="40" xfId="5" applyFont="1" applyFill="1" applyBorder="1" applyAlignment="1" applyProtection="1">
      <alignment horizontal="left" vertical="center"/>
      <protection locked="0"/>
    </xf>
    <xf numFmtId="0" fontId="29" fillId="13" borderId="94" xfId="5" applyFont="1" applyFill="1" applyBorder="1" applyAlignment="1">
      <alignment horizontal="center"/>
    </xf>
    <xf numFmtId="0" fontId="29" fillId="13" borderId="69" xfId="5" applyFont="1" applyFill="1" applyBorder="1" applyAlignment="1">
      <alignment horizontal="center"/>
    </xf>
    <xf numFmtId="0" fontId="29" fillId="13" borderId="70" xfId="5" applyFont="1" applyFill="1" applyBorder="1" applyAlignment="1">
      <alignment horizontal="center"/>
    </xf>
    <xf numFmtId="0" fontId="46" fillId="0" borderId="0" xfId="5" applyFont="1" applyAlignment="1">
      <alignment horizontal="center"/>
    </xf>
    <xf numFmtId="0" fontId="36" fillId="0" borderId="0" xfId="5" applyFont="1" applyBorder="1" applyAlignment="1">
      <alignment horizontal="center"/>
    </xf>
    <xf numFmtId="0" fontId="5" fillId="0" borderId="25" xfId="5" applyFont="1" applyBorder="1" applyAlignment="1">
      <alignment horizontal="center"/>
    </xf>
    <xf numFmtId="0" fontId="22" fillId="13" borderId="47" xfId="5" applyFont="1" applyFill="1" applyBorder="1" applyAlignment="1" applyProtection="1">
      <alignment horizontal="left" vertical="center"/>
      <protection hidden="1"/>
    </xf>
    <xf numFmtId="0" fontId="22" fillId="13" borderId="74" xfId="5" applyFont="1" applyFill="1" applyBorder="1" applyAlignment="1" applyProtection="1">
      <alignment horizontal="left" vertical="center"/>
      <protection hidden="1"/>
    </xf>
    <xf numFmtId="0" fontId="29" fillId="13" borderId="95" xfId="5" applyFont="1" applyFill="1" applyBorder="1" applyAlignment="1" applyProtection="1">
      <alignment horizontal="center"/>
      <protection hidden="1"/>
    </xf>
    <xf numFmtId="0" fontId="29" fillId="13" borderId="44" xfId="5" applyFont="1" applyFill="1" applyBorder="1" applyAlignment="1" applyProtection="1">
      <alignment horizontal="center"/>
      <protection hidden="1"/>
    </xf>
    <xf numFmtId="0" fontId="29" fillId="13" borderId="96" xfId="5" applyFont="1" applyFill="1" applyBorder="1" applyAlignment="1" applyProtection="1">
      <alignment horizontal="center"/>
      <protection hidden="1"/>
    </xf>
    <xf numFmtId="0" fontId="36" fillId="0" borderId="0" xfId="5" applyFont="1" applyAlignment="1" applyProtection="1">
      <alignment horizontal="center"/>
      <protection hidden="1"/>
    </xf>
    <xf numFmtId="0" fontId="5" fillId="24" borderId="94" xfId="5" applyFont="1" applyFill="1" applyBorder="1" applyAlignment="1" applyProtection="1">
      <alignment horizontal="center"/>
      <protection hidden="1"/>
    </xf>
    <xf numFmtId="0" fontId="5" fillId="24" borderId="69" xfId="5" applyFont="1" applyFill="1" applyBorder="1" applyAlignment="1" applyProtection="1">
      <alignment horizontal="center"/>
      <protection hidden="1"/>
    </xf>
    <xf numFmtId="0" fontId="5" fillId="24" borderId="114" xfId="5" applyFont="1" applyFill="1" applyBorder="1" applyAlignment="1" applyProtection="1">
      <alignment horizontal="center" vertical="center"/>
      <protection hidden="1"/>
    </xf>
    <xf numFmtId="0" fontId="5" fillId="24" borderId="69" xfId="5" applyFont="1" applyFill="1" applyBorder="1" applyAlignment="1" applyProtection="1">
      <alignment horizontal="center" vertical="center"/>
      <protection hidden="1"/>
    </xf>
    <xf numFmtId="0" fontId="5" fillId="24" borderId="70" xfId="5" applyFont="1" applyFill="1" applyBorder="1" applyAlignment="1" applyProtection="1">
      <alignment horizontal="center" vertical="center"/>
      <protection hidden="1"/>
    </xf>
    <xf numFmtId="0" fontId="35" fillId="22" borderId="66" xfId="5" applyFill="1" applyBorder="1" applyAlignment="1" applyProtection="1">
      <alignment horizontal="center"/>
      <protection hidden="1"/>
    </xf>
    <xf numFmtId="0" fontId="35" fillId="22" borderId="40" xfId="5" applyFill="1" applyBorder="1" applyAlignment="1" applyProtection="1">
      <alignment horizontal="center"/>
      <protection hidden="1"/>
    </xf>
    <xf numFmtId="0" fontId="5" fillId="22" borderId="38" xfId="5" applyFont="1" applyFill="1" applyBorder="1" applyAlignment="1" applyProtection="1">
      <alignment horizontal="center"/>
      <protection hidden="1"/>
    </xf>
    <xf numFmtId="0" fontId="5" fillId="22" borderId="110" xfId="5" applyFont="1" applyFill="1" applyBorder="1" applyAlignment="1" applyProtection="1">
      <alignment horizontal="center"/>
      <protection hidden="1"/>
    </xf>
    <xf numFmtId="0" fontId="35" fillId="22" borderId="104" xfId="5" applyFill="1" applyBorder="1" applyAlignment="1" applyProtection="1">
      <alignment horizontal="center" vertical="center"/>
      <protection hidden="1"/>
    </xf>
    <xf numFmtId="0" fontId="35" fillId="22" borderId="39" xfId="5" applyFill="1" applyBorder="1" applyAlignment="1" applyProtection="1">
      <alignment horizontal="center" vertical="center"/>
      <protection hidden="1"/>
    </xf>
    <xf numFmtId="0" fontId="35" fillId="22" borderId="40" xfId="5" applyFill="1" applyBorder="1" applyAlignment="1" applyProtection="1">
      <alignment horizontal="center" vertical="center"/>
      <protection hidden="1"/>
    </xf>
    <xf numFmtId="0" fontId="5" fillId="22" borderId="38" xfId="5" applyFont="1" applyFill="1" applyBorder="1" applyAlignment="1" applyProtection="1">
      <alignment horizontal="center" vertical="center"/>
      <protection hidden="1"/>
    </xf>
    <xf numFmtId="0" fontId="5" fillId="22" borderId="67" xfId="5" applyFont="1" applyFill="1" applyBorder="1" applyAlignment="1" applyProtection="1">
      <alignment horizontal="center" vertical="center"/>
      <protection hidden="1"/>
    </xf>
    <xf numFmtId="0" fontId="35" fillId="22" borderId="45" xfId="5" applyFill="1" applyBorder="1" applyAlignment="1" applyProtection="1">
      <alignment horizontal="center"/>
      <protection hidden="1"/>
    </xf>
    <xf numFmtId="0" fontId="35" fillId="22" borderId="22" xfId="5" applyFill="1" applyBorder="1" applyAlignment="1" applyProtection="1">
      <alignment horizontal="center"/>
      <protection hidden="1"/>
    </xf>
    <xf numFmtId="0" fontId="5" fillId="22" borderId="41" xfId="5" applyFont="1" applyFill="1" applyBorder="1" applyAlignment="1" applyProtection="1">
      <alignment horizontal="center"/>
      <protection hidden="1"/>
    </xf>
    <xf numFmtId="0" fontId="5" fillId="22" borderId="112" xfId="5" applyFont="1" applyFill="1" applyBorder="1" applyAlignment="1" applyProtection="1">
      <alignment horizontal="center"/>
      <protection hidden="1"/>
    </xf>
    <xf numFmtId="0" fontId="35" fillId="22" borderId="111" xfId="5" applyFill="1" applyBorder="1" applyAlignment="1" applyProtection="1">
      <alignment horizontal="center" vertical="center"/>
      <protection hidden="1"/>
    </xf>
    <xf numFmtId="0" fontId="35" fillId="22" borderId="0" xfId="5" applyFill="1" applyBorder="1" applyAlignment="1" applyProtection="1">
      <alignment horizontal="center" vertical="center"/>
      <protection hidden="1"/>
    </xf>
    <xf numFmtId="0" fontId="35" fillId="22" borderId="22" xfId="5" applyFill="1" applyBorder="1" applyAlignment="1" applyProtection="1">
      <alignment horizontal="center" vertical="center"/>
      <protection hidden="1"/>
    </xf>
    <xf numFmtId="0" fontId="5" fillId="22" borderId="41" xfId="5" applyFont="1" applyFill="1" applyBorder="1" applyAlignment="1" applyProtection="1">
      <alignment horizontal="center" vertical="center"/>
      <protection hidden="1"/>
    </xf>
    <xf numFmtId="0" fontId="5" fillId="22" borderId="71" xfId="5" applyFont="1" applyFill="1" applyBorder="1" applyAlignment="1" applyProtection="1">
      <alignment horizontal="center" vertical="center"/>
      <protection hidden="1"/>
    </xf>
    <xf numFmtId="164" fontId="5" fillId="24" borderId="95" xfId="5" applyNumberFormat="1" applyFont="1" applyFill="1" applyBorder="1" applyAlignment="1" applyProtection="1">
      <alignment horizontal="center"/>
      <protection hidden="1"/>
    </xf>
    <xf numFmtId="164" fontId="5" fillId="24" borderId="56" xfId="5" applyNumberFormat="1" applyFont="1" applyFill="1" applyBorder="1" applyAlignment="1" applyProtection="1">
      <alignment horizontal="center"/>
      <protection hidden="1"/>
    </xf>
    <xf numFmtId="180" fontId="12" fillId="12" borderId="55" xfId="5" applyNumberFormat="1" applyFont="1" applyFill="1" applyBorder="1" applyAlignment="1" applyProtection="1">
      <alignment horizontal="center" vertical="center"/>
      <protection hidden="1"/>
    </xf>
    <xf numFmtId="180" fontId="12" fillId="12" borderId="108" xfId="5" applyNumberFormat="1" applyFont="1" applyFill="1" applyBorder="1" applyAlignment="1" applyProtection="1">
      <alignment horizontal="center" vertical="center"/>
      <protection hidden="1"/>
    </xf>
    <xf numFmtId="164" fontId="5" fillId="24" borderId="109" xfId="5" applyNumberFormat="1" applyFont="1" applyFill="1" applyBorder="1" applyAlignment="1" applyProtection="1">
      <alignment horizontal="center" vertical="center"/>
      <protection hidden="1"/>
    </xf>
    <xf numFmtId="164" fontId="5" fillId="24" borderId="44" xfId="5" applyNumberFormat="1" applyFont="1" applyFill="1" applyBorder="1" applyAlignment="1" applyProtection="1">
      <alignment horizontal="center" vertical="center"/>
      <protection hidden="1"/>
    </xf>
    <xf numFmtId="164" fontId="5" fillId="24" borderId="56" xfId="5" applyNumberFormat="1" applyFont="1" applyFill="1" applyBorder="1" applyAlignment="1" applyProtection="1">
      <alignment horizontal="center" vertical="center"/>
      <protection hidden="1"/>
    </xf>
    <xf numFmtId="180" fontId="12" fillId="12" borderId="96" xfId="5" applyNumberFormat="1" applyFont="1" applyFill="1" applyBorder="1" applyAlignment="1" applyProtection="1">
      <alignment horizontal="center" vertical="center"/>
      <protection hidden="1"/>
    </xf>
    <xf numFmtId="164" fontId="5" fillId="24" borderId="72" xfId="5" applyNumberFormat="1" applyFont="1" applyFill="1" applyBorder="1" applyAlignment="1" applyProtection="1">
      <alignment horizontal="center"/>
      <protection hidden="1"/>
    </xf>
    <xf numFmtId="164" fontId="5" fillId="24" borderId="102" xfId="5" applyNumberFormat="1" applyFont="1" applyFill="1" applyBorder="1" applyAlignment="1" applyProtection="1">
      <alignment horizontal="center"/>
      <protection hidden="1"/>
    </xf>
    <xf numFmtId="180" fontId="12" fillId="12" borderId="80" xfId="5" applyNumberFormat="1" applyFont="1" applyFill="1" applyBorder="1" applyAlignment="1" applyProtection="1">
      <alignment horizontal="center" vertical="center"/>
      <protection hidden="1"/>
    </xf>
    <xf numFmtId="180" fontId="12" fillId="12" borderId="103" xfId="5" applyNumberFormat="1" applyFont="1" applyFill="1" applyBorder="1" applyAlignment="1" applyProtection="1">
      <alignment horizontal="center" vertical="center"/>
      <protection hidden="1"/>
    </xf>
    <xf numFmtId="164" fontId="5" fillId="24" borderId="104" xfId="5" applyNumberFormat="1" applyFont="1" applyFill="1" applyBorder="1" applyAlignment="1" applyProtection="1">
      <alignment horizontal="center" vertical="center"/>
      <protection hidden="1"/>
    </xf>
    <xf numFmtId="164" fontId="5" fillId="24" borderId="39" xfId="5" applyNumberFormat="1" applyFont="1" applyFill="1" applyBorder="1" applyAlignment="1" applyProtection="1">
      <alignment horizontal="center" vertical="center"/>
      <protection hidden="1"/>
    </xf>
    <xf numFmtId="164" fontId="5" fillId="24" borderId="40" xfId="5" applyNumberFormat="1" applyFont="1" applyFill="1" applyBorder="1" applyAlignment="1" applyProtection="1">
      <alignment horizontal="center" vertical="center"/>
      <protection hidden="1"/>
    </xf>
    <xf numFmtId="180" fontId="12" fillId="12" borderId="79" xfId="5" applyNumberFormat="1" applyFont="1" applyFill="1" applyBorder="1" applyAlignment="1" applyProtection="1">
      <alignment horizontal="center" vertical="center"/>
      <protection hidden="1"/>
    </xf>
    <xf numFmtId="0" fontId="5" fillId="24" borderId="91" xfId="5" applyFont="1" applyFill="1" applyBorder="1" applyAlignment="1" applyProtection="1">
      <alignment horizontal="center"/>
      <protection hidden="1"/>
    </xf>
    <xf numFmtId="0" fontId="5" fillId="24" borderId="105" xfId="5" applyFont="1" applyFill="1" applyBorder="1" applyAlignment="1" applyProtection="1">
      <alignment horizontal="center"/>
      <protection hidden="1"/>
    </xf>
    <xf numFmtId="180" fontId="5" fillId="11" borderId="76" xfId="5" applyNumberFormat="1" applyFont="1" applyFill="1" applyBorder="1" applyAlignment="1" applyProtection="1">
      <alignment horizontal="center" vertical="center"/>
      <protection hidden="1"/>
    </xf>
    <xf numFmtId="180" fontId="5" fillId="11" borderId="106" xfId="5" applyNumberFormat="1" applyFont="1" applyFill="1" applyBorder="1" applyAlignment="1" applyProtection="1">
      <alignment horizontal="center" vertical="center"/>
      <protection hidden="1"/>
    </xf>
    <xf numFmtId="0" fontId="5" fillId="24" borderId="107" xfId="5" applyFont="1" applyFill="1" applyBorder="1" applyAlignment="1" applyProtection="1">
      <alignment horizontal="center" vertical="center"/>
      <protection hidden="1"/>
    </xf>
    <xf numFmtId="0" fontId="5" fillId="24" borderId="57" xfId="5" applyFont="1" applyFill="1" applyBorder="1" applyAlignment="1" applyProtection="1">
      <alignment horizontal="center" vertical="center"/>
      <protection hidden="1"/>
    </xf>
    <xf numFmtId="0" fontId="5" fillId="24" borderId="105" xfId="5" applyFont="1" applyFill="1" applyBorder="1" applyAlignment="1" applyProtection="1">
      <alignment horizontal="center" vertical="center"/>
      <protection hidden="1"/>
    </xf>
    <xf numFmtId="180" fontId="5" fillId="11" borderId="92" xfId="5" applyNumberFormat="1" applyFont="1" applyFill="1" applyBorder="1" applyAlignment="1" applyProtection="1">
      <alignment horizontal="center" vertical="center"/>
      <protection hidden="1"/>
    </xf>
    <xf numFmtId="0" fontId="5" fillId="24" borderId="94" xfId="5" applyFont="1" applyFill="1" applyBorder="1" applyAlignment="1" applyProtection="1">
      <alignment horizontal="center" vertical="center"/>
      <protection hidden="1"/>
    </xf>
    <xf numFmtId="0" fontId="5" fillId="24" borderId="113" xfId="5" applyFont="1" applyFill="1" applyBorder="1" applyAlignment="1" applyProtection="1">
      <alignment horizontal="center" vertical="center"/>
      <protection hidden="1"/>
    </xf>
    <xf numFmtId="0" fontId="5" fillId="22" borderId="18" xfId="5" applyFont="1" applyFill="1" applyBorder="1" applyAlignment="1" applyProtection="1">
      <alignment horizontal="center" vertical="center"/>
      <protection hidden="1"/>
    </xf>
    <xf numFmtId="0" fontId="5" fillId="22" borderId="46" xfId="5" applyFont="1" applyFill="1" applyBorder="1" applyAlignment="1" applyProtection="1">
      <alignment horizontal="center" vertical="center"/>
      <protection hidden="1"/>
    </xf>
    <xf numFmtId="0" fontId="29" fillId="13" borderId="91" xfId="5" applyFont="1" applyFill="1" applyBorder="1" applyAlignment="1">
      <alignment horizontal="center"/>
    </xf>
    <xf numFmtId="0" fontId="29" fillId="13" borderId="57" xfId="5" applyFont="1" applyFill="1" applyBorder="1" applyAlignment="1">
      <alignment horizontal="center"/>
    </xf>
    <xf numFmtId="0" fontId="29" fillId="13" borderId="92" xfId="5" applyFont="1" applyFill="1" applyBorder="1" applyAlignment="1">
      <alignment horizontal="center"/>
    </xf>
    <xf numFmtId="0" fontId="5" fillId="0" borderId="0" xfId="5" applyFont="1" applyBorder="1" applyAlignment="1">
      <alignment horizontal="center"/>
    </xf>
    <xf numFmtId="0" fontId="42" fillId="0" borderId="52" xfId="5" applyFont="1" applyBorder="1" applyAlignment="1">
      <alignment horizontal="center"/>
    </xf>
    <xf numFmtId="0" fontId="42" fillId="0" borderId="23" xfId="5" applyFont="1" applyBorder="1" applyAlignment="1">
      <alignment horizontal="left"/>
    </xf>
    <xf numFmtId="0" fontId="42" fillId="0" borderId="42" xfId="5" applyFont="1" applyBorder="1" applyAlignment="1">
      <alignment horizontal="left"/>
    </xf>
    <xf numFmtId="0" fontId="4" fillId="0" borderId="0" xfId="5" applyFont="1" applyFill="1" applyBorder="1" applyAlignment="1" applyProtection="1">
      <alignment horizontal="left"/>
      <protection hidden="1"/>
    </xf>
    <xf numFmtId="0" fontId="4" fillId="0" borderId="22" xfId="5" applyFont="1" applyFill="1" applyBorder="1" applyAlignment="1" applyProtection="1">
      <alignment horizontal="left"/>
      <protection hidden="1"/>
    </xf>
    <xf numFmtId="0" fontId="4" fillId="0" borderId="0" xfId="5" applyFont="1" applyBorder="1" applyAlignment="1" applyProtection="1">
      <alignment horizontal="left"/>
      <protection hidden="1"/>
    </xf>
    <xf numFmtId="0" fontId="4" fillId="0" borderId="22" xfId="5" applyFont="1" applyBorder="1" applyAlignment="1" applyProtection="1">
      <alignment horizontal="left"/>
      <protection hidden="1"/>
    </xf>
    <xf numFmtId="0" fontId="4" fillId="0" borderId="0" xfId="5" applyFont="1" applyBorder="1" applyAlignment="1" applyProtection="1">
      <protection hidden="1"/>
    </xf>
    <xf numFmtId="0" fontId="4" fillId="0" borderId="22" xfId="5" applyFont="1" applyBorder="1" applyAlignment="1" applyProtection="1">
      <protection hidden="1"/>
    </xf>
    <xf numFmtId="0" fontId="4" fillId="0" borderId="23" xfId="5" applyFont="1" applyBorder="1" applyAlignment="1" applyProtection="1">
      <alignment horizontal="left"/>
      <protection hidden="1"/>
    </xf>
    <xf numFmtId="0" fontId="4" fillId="0" borderId="42" xfId="5" applyFont="1" applyBorder="1" applyAlignment="1" applyProtection="1">
      <alignment horizontal="left"/>
      <protection hidden="1"/>
    </xf>
    <xf numFmtId="0" fontId="4" fillId="0" borderId="0" xfId="5" applyFont="1" applyBorder="1" applyAlignment="1" applyProtection="1">
      <alignment horizontal="center"/>
      <protection hidden="1"/>
    </xf>
    <xf numFmtId="0" fontId="4" fillId="0" borderId="22" xfId="5" applyFont="1" applyBorder="1" applyAlignment="1" applyProtection="1">
      <alignment horizontal="center"/>
      <protection hidden="1"/>
    </xf>
    <xf numFmtId="0" fontId="5" fillId="0" borderId="99" xfId="5" applyFont="1" applyBorder="1" applyAlignment="1">
      <alignment horizontal="center"/>
    </xf>
    <xf numFmtId="0" fontId="5" fillId="0" borderId="100" xfId="5" applyFont="1" applyBorder="1" applyAlignment="1">
      <alignment horizontal="center"/>
    </xf>
    <xf numFmtId="0" fontId="5" fillId="0" borderId="101" xfId="5" applyFont="1" applyBorder="1" applyAlignment="1">
      <alignment horizontal="center"/>
    </xf>
    <xf numFmtId="0" fontId="5" fillId="0" borderId="95" xfId="5" applyFont="1" applyBorder="1" applyAlignment="1">
      <alignment horizontal="center"/>
    </xf>
    <xf numFmtId="0" fontId="5" fillId="0" borderId="55" xfId="5" applyFont="1" applyBorder="1" applyAlignment="1">
      <alignment horizontal="center"/>
    </xf>
    <xf numFmtId="0" fontId="5" fillId="0" borderId="44" xfId="5" applyFont="1" applyBorder="1" applyAlignment="1">
      <alignment horizontal="center"/>
    </xf>
    <xf numFmtId="0" fontId="5" fillId="0" borderId="56" xfId="5" applyFont="1" applyBorder="1" applyAlignment="1">
      <alignment horizontal="center"/>
    </xf>
    <xf numFmtId="0" fontId="22" fillId="13" borderId="91" xfId="5" applyFont="1" applyFill="1" applyBorder="1" applyAlignment="1">
      <alignment horizontal="center"/>
    </xf>
    <xf numFmtId="0" fontId="22" fillId="13" borderId="57" xfId="5" applyFont="1" applyFill="1" applyBorder="1" applyAlignment="1">
      <alignment horizontal="center"/>
    </xf>
    <xf numFmtId="0" fontId="22" fillId="13" borderId="92" xfId="5" applyFont="1" applyFill="1" applyBorder="1" applyAlignment="1">
      <alignment horizontal="center"/>
    </xf>
    <xf numFmtId="0" fontId="5" fillId="0" borderId="97" xfId="5" applyFont="1" applyBorder="1" applyAlignment="1">
      <alignment horizontal="center"/>
    </xf>
    <xf numFmtId="0" fontId="5" fillId="0" borderId="98" xfId="5" applyFont="1" applyBorder="1" applyAlignment="1">
      <alignment horizontal="center"/>
    </xf>
    <xf numFmtId="0" fontId="5" fillId="0" borderId="66" xfId="5" applyFont="1" applyBorder="1" applyAlignment="1">
      <alignment horizontal="center"/>
    </xf>
    <xf numFmtId="0" fontId="5" fillId="0" borderId="23" xfId="5" applyFont="1" applyBorder="1" applyAlignment="1">
      <alignment horizontal="left"/>
    </xf>
    <xf numFmtId="0" fontId="5" fillId="0" borderId="42" xfId="5" applyFont="1" applyBorder="1" applyAlignment="1">
      <alignment horizontal="left"/>
    </xf>
    <xf numFmtId="0" fontId="4" fillId="12" borderId="0" xfId="5" applyFont="1" applyFill="1" applyBorder="1" applyAlignment="1">
      <alignment horizontal="left" wrapText="1"/>
    </xf>
    <xf numFmtId="0" fontId="37" fillId="0" borderId="0" xfId="5" applyFont="1" applyAlignment="1">
      <alignment horizontal="left"/>
    </xf>
    <xf numFmtId="0" fontId="4" fillId="0" borderId="0" xfId="5" applyFont="1" applyAlignment="1">
      <alignment horizontal="left"/>
    </xf>
    <xf numFmtId="0" fontId="4" fillId="12" borderId="0" xfId="5" applyFont="1" applyFill="1" applyBorder="1" applyAlignment="1">
      <alignment horizontal="left"/>
    </xf>
  </cellXfs>
  <cellStyles count="6">
    <cellStyle name="40% - Accent1" xfId="1" builtinId="31"/>
    <cellStyle name="Comma" xfId="2" builtinId="3"/>
    <cellStyle name="Comma 2" xfId="3"/>
    <cellStyle name="Currency" xfId="4" builtinId="4"/>
    <cellStyle name="Normal" xfId="0" builtinId="0"/>
    <cellStyle name="Normal 2"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sheetPr enableFormatConditionsCalculation="0">
    <tabColor rgb="FF7030A0"/>
  </sheetPr>
  <dimension ref="A1:J42"/>
  <sheetViews>
    <sheetView topLeftCell="A29" zoomScale="125" zoomScaleNormal="125" workbookViewId="0">
      <selection activeCell="G57" sqref="G57"/>
    </sheetView>
  </sheetViews>
  <sheetFormatPr defaultColWidth="8.85546875" defaultRowHeight="12.75"/>
  <sheetData>
    <row r="1" spans="1:10" ht="15">
      <c r="A1" s="1606" t="s">
        <v>693</v>
      </c>
      <c r="B1" s="1606"/>
      <c r="C1" s="1606"/>
      <c r="D1" s="1606"/>
      <c r="E1" s="1606"/>
      <c r="F1" s="1606"/>
      <c r="G1" s="1606"/>
      <c r="H1" s="1606"/>
      <c r="I1" s="1606"/>
      <c r="J1" s="1606"/>
    </row>
    <row r="2" spans="1:10" ht="15">
      <c r="A2" s="1606" t="s">
        <v>694</v>
      </c>
      <c r="B2" s="1606"/>
      <c r="C2" s="1606"/>
      <c r="D2" s="1606"/>
      <c r="E2" s="1606"/>
      <c r="F2" s="1606"/>
      <c r="G2" s="1606"/>
      <c r="H2" s="1606"/>
      <c r="I2" s="1606"/>
      <c r="J2" s="1606"/>
    </row>
    <row r="3" spans="1:10" ht="15">
      <c r="A3" s="1606" t="s">
        <v>742</v>
      </c>
      <c r="B3" s="1606"/>
      <c r="C3" s="1606"/>
      <c r="D3" s="1606"/>
      <c r="E3" s="1606"/>
      <c r="F3" s="1606"/>
      <c r="G3" s="1606"/>
      <c r="H3" s="1606"/>
      <c r="I3" s="1606"/>
      <c r="J3" s="1606"/>
    </row>
    <row r="4" spans="1:10">
      <c r="A4" s="1607">
        <v>40881</v>
      </c>
      <c r="B4" s="1608"/>
      <c r="C4" s="1608"/>
      <c r="D4" s="1608"/>
      <c r="E4" s="1608"/>
      <c r="F4" s="1608"/>
      <c r="G4" s="1608"/>
      <c r="H4" s="1608"/>
      <c r="I4" s="1608"/>
      <c r="J4" s="1608"/>
    </row>
    <row r="5" spans="1:10" ht="8.1" customHeight="1">
      <c r="A5" s="330"/>
      <c r="C5" s="330"/>
      <c r="D5" s="330"/>
      <c r="E5" s="330"/>
      <c r="F5" s="330"/>
      <c r="G5" s="330"/>
      <c r="H5" s="330"/>
    </row>
    <row r="6" spans="1:10" ht="14.25">
      <c r="A6" s="330"/>
      <c r="B6" s="11" t="s">
        <v>697</v>
      </c>
      <c r="C6" s="330"/>
      <c r="D6" s="330"/>
      <c r="E6" s="330"/>
      <c r="F6" s="330"/>
      <c r="G6" s="330"/>
      <c r="H6" s="330"/>
    </row>
    <row r="7" spans="1:10" ht="8.1" customHeight="1">
      <c r="A7" s="330"/>
      <c r="C7" s="330"/>
      <c r="D7" s="330"/>
      <c r="E7" s="330"/>
      <c r="F7" s="330"/>
      <c r="G7" s="330"/>
      <c r="H7" s="330"/>
    </row>
    <row r="8" spans="1:10" ht="14.25">
      <c r="A8" s="330"/>
      <c r="B8" s="331" t="s">
        <v>674</v>
      </c>
      <c r="C8" s="330"/>
      <c r="D8" s="330"/>
      <c r="E8" s="330"/>
      <c r="F8" s="330"/>
      <c r="G8" s="330"/>
      <c r="H8" s="330"/>
    </row>
    <row r="9" spans="1:10" ht="14.25">
      <c r="A9" s="330"/>
      <c r="B9" s="11" t="s">
        <v>675</v>
      </c>
      <c r="C9" s="330"/>
      <c r="D9" s="330"/>
      <c r="E9" s="330"/>
      <c r="F9" s="330"/>
      <c r="G9" s="330"/>
      <c r="H9" s="330"/>
    </row>
    <row r="10" spans="1:10" ht="14.25">
      <c r="A10" s="330"/>
      <c r="B10" s="11" t="s">
        <v>676</v>
      </c>
      <c r="C10" s="330"/>
      <c r="D10" s="330"/>
      <c r="E10" s="330"/>
      <c r="F10" s="330"/>
      <c r="G10" s="330"/>
      <c r="H10" s="330"/>
    </row>
    <row r="11" spans="1:10" ht="8.1" customHeight="1">
      <c r="A11" s="330"/>
      <c r="B11" s="11"/>
      <c r="C11" s="330"/>
      <c r="D11" s="330"/>
      <c r="E11" s="330"/>
      <c r="F11" s="330"/>
      <c r="G11" s="330"/>
      <c r="H11" s="330"/>
    </row>
    <row r="12" spans="1:10" ht="12.95" customHeight="1">
      <c r="A12" s="330"/>
      <c r="B12" s="764" t="s">
        <v>855</v>
      </c>
      <c r="C12" s="330"/>
      <c r="D12" s="330"/>
      <c r="E12" s="330"/>
      <c r="F12" s="330"/>
      <c r="G12" s="330"/>
      <c r="H12" s="330"/>
    </row>
    <row r="13" spans="1:10" ht="12.95" customHeight="1">
      <c r="A13" s="330"/>
      <c r="B13" s="764" t="s">
        <v>861</v>
      </c>
      <c r="C13" s="330"/>
      <c r="D13" s="330"/>
      <c r="E13" s="330"/>
      <c r="F13" s="330"/>
      <c r="G13" s="330"/>
      <c r="H13" s="330"/>
    </row>
    <row r="14" spans="1:10" ht="12.95" customHeight="1">
      <c r="A14" s="330"/>
      <c r="B14" s="764" t="s">
        <v>863</v>
      </c>
      <c r="C14" s="330"/>
      <c r="D14" s="330"/>
      <c r="E14" s="330"/>
      <c r="F14" s="330"/>
      <c r="G14" s="330"/>
      <c r="H14" s="330"/>
    </row>
    <row r="15" spans="1:10" ht="8.1" customHeight="1">
      <c r="A15" s="330"/>
      <c r="B15" s="764"/>
      <c r="C15" s="330"/>
      <c r="D15" s="330"/>
      <c r="E15" s="330"/>
      <c r="F15" s="330"/>
      <c r="G15" s="330"/>
      <c r="H15" s="330"/>
    </row>
    <row r="16" spans="1:10">
      <c r="B16" s="11" t="s">
        <v>677</v>
      </c>
    </row>
    <row r="17" spans="2:10">
      <c r="B17" s="11" t="s">
        <v>678</v>
      </c>
    </row>
    <row r="18" spans="2:10">
      <c r="B18" s="11" t="s">
        <v>679</v>
      </c>
    </row>
    <row r="19" spans="2:10" ht="8.1" customHeight="1">
      <c r="B19" s="11"/>
    </row>
    <row r="20" spans="2:10">
      <c r="B20" s="11" t="s">
        <v>743</v>
      </c>
    </row>
    <row r="21" spans="2:10">
      <c r="B21" s="11" t="s">
        <v>698</v>
      </c>
    </row>
    <row r="22" spans="2:10">
      <c r="B22" s="11" t="s">
        <v>676</v>
      </c>
    </row>
    <row r="23" spans="2:10" ht="8.1" customHeight="1"/>
    <row r="24" spans="2:10" ht="90" customHeight="1">
      <c r="B24" s="1609" t="s">
        <v>695</v>
      </c>
      <c r="C24" s="1609"/>
      <c r="D24" s="1609"/>
      <c r="E24" s="1609"/>
      <c r="F24" s="1609"/>
      <c r="G24" s="1609"/>
      <c r="H24" s="1609"/>
      <c r="I24" s="1609"/>
      <c r="J24" s="1609"/>
    </row>
    <row r="25" spans="2:10" ht="8.1" customHeight="1">
      <c r="B25" s="332"/>
      <c r="C25" s="332"/>
      <c r="D25" s="332"/>
      <c r="E25" s="332"/>
      <c r="F25" s="332"/>
      <c r="G25" s="332"/>
      <c r="H25" s="332"/>
      <c r="I25" s="332"/>
      <c r="J25" s="332"/>
    </row>
    <row r="26" spans="2:10" ht="80.099999999999994" customHeight="1">
      <c r="B26" s="1605" t="s">
        <v>680</v>
      </c>
      <c r="C26" s="1605"/>
      <c r="D26" s="1605"/>
      <c r="E26" s="1605"/>
      <c r="F26" s="1605"/>
      <c r="G26" s="1605"/>
      <c r="H26" s="1605"/>
      <c r="I26" s="1605"/>
      <c r="J26" s="1605"/>
    </row>
    <row r="27" spans="2:10" ht="8.1" customHeight="1">
      <c r="B27" s="333"/>
      <c r="C27" s="333"/>
      <c r="D27" s="333"/>
      <c r="E27" s="333"/>
      <c r="F27" s="333"/>
      <c r="G27" s="333"/>
      <c r="H27" s="333"/>
      <c r="I27" s="333"/>
      <c r="J27" s="333"/>
    </row>
    <row r="28" spans="2:10" ht="65.099999999999994" customHeight="1">
      <c r="B28" s="1605" t="s">
        <v>681</v>
      </c>
      <c r="C28" s="1605"/>
      <c r="D28" s="1605"/>
      <c r="E28" s="1605"/>
      <c r="F28" s="1605"/>
      <c r="G28" s="1605"/>
      <c r="H28" s="1605"/>
      <c r="I28" s="1605"/>
      <c r="J28" s="1605"/>
    </row>
    <row r="29" spans="2:10" ht="8.1" customHeight="1">
      <c r="B29" s="334"/>
      <c r="C29" s="334"/>
      <c r="D29" s="334"/>
      <c r="E29" s="334"/>
      <c r="F29" s="334"/>
      <c r="G29" s="334"/>
      <c r="H29" s="334"/>
      <c r="I29" s="334"/>
    </row>
    <row r="30" spans="2:10" ht="90" customHeight="1">
      <c r="B30" s="1605" t="s">
        <v>696</v>
      </c>
      <c r="C30" s="1605"/>
      <c r="D30" s="1605"/>
      <c r="E30" s="1605"/>
      <c r="F30" s="1605"/>
      <c r="G30" s="1605"/>
      <c r="H30" s="1605"/>
      <c r="I30" s="1605"/>
      <c r="J30" s="1605"/>
    </row>
    <row r="31" spans="2:10" ht="8.1" customHeight="1"/>
    <row r="32" spans="2:10">
      <c r="B32" s="11" t="s">
        <v>682</v>
      </c>
    </row>
    <row r="33" spans="2:3">
      <c r="B33" s="11" t="s">
        <v>683</v>
      </c>
    </row>
    <row r="34" spans="2:3">
      <c r="B34" t="s">
        <v>684</v>
      </c>
    </row>
    <row r="35" spans="2:3">
      <c r="C35" t="s">
        <v>685</v>
      </c>
    </row>
    <row r="36" spans="2:3">
      <c r="C36" t="s">
        <v>686</v>
      </c>
    </row>
    <row r="37" spans="2:3">
      <c r="C37" t="s">
        <v>687</v>
      </c>
    </row>
    <row r="38" spans="2:3">
      <c r="C38" t="s">
        <v>688</v>
      </c>
    </row>
    <row r="39" spans="2:3">
      <c r="B39" t="s">
        <v>689</v>
      </c>
    </row>
    <row r="40" spans="2:3">
      <c r="B40" t="s">
        <v>690</v>
      </c>
    </row>
    <row r="41" spans="2:3">
      <c r="B41" t="s">
        <v>691</v>
      </c>
    </row>
    <row r="42" spans="2:3">
      <c r="B42" t="s">
        <v>692</v>
      </c>
    </row>
  </sheetData>
  <sheetProtection password="A5F1" sheet="1" objects="1" scenarios="1"/>
  <mergeCells count="8">
    <mergeCell ref="B28:J28"/>
    <mergeCell ref="B30:J30"/>
    <mergeCell ref="A1:J1"/>
    <mergeCell ref="A2:J2"/>
    <mergeCell ref="A3:J3"/>
    <mergeCell ref="A4:J4"/>
    <mergeCell ref="B24:J24"/>
    <mergeCell ref="B26:J26"/>
  </mergeCells>
  <pageMargins left="0.7" right="0.7" top="0.61" bottom="0.49" header="0.3" footer="0.3"/>
  <pageSetup orientation="portrait"/>
</worksheet>
</file>

<file path=xl/worksheets/sheet10.xml><?xml version="1.0" encoding="utf-8"?>
<worksheet xmlns="http://schemas.openxmlformats.org/spreadsheetml/2006/main" xmlns:r="http://schemas.openxmlformats.org/officeDocument/2006/relationships">
  <sheetPr enableFormatConditionsCalculation="0">
    <tabColor rgb="FF7030A0"/>
  </sheetPr>
  <dimension ref="A6:L37"/>
  <sheetViews>
    <sheetView zoomScale="125" zoomScaleNormal="125" workbookViewId="0">
      <selection activeCell="G57" sqref="G57"/>
    </sheetView>
  </sheetViews>
  <sheetFormatPr defaultColWidth="8.85546875" defaultRowHeight="12.75"/>
  <cols>
    <col min="6" max="6" width="10.7109375" customWidth="1"/>
    <col min="10" max="10" width="11.7109375" customWidth="1"/>
    <col min="11" max="11" width="9.28515625" bestFit="1" customWidth="1"/>
    <col min="12" max="12" width="10.7109375" customWidth="1"/>
  </cols>
  <sheetData>
    <row r="6" spans="1:12">
      <c r="B6" s="94"/>
      <c r="C6" s="117"/>
      <c r="D6" s="117"/>
      <c r="E6" s="117"/>
      <c r="F6" s="117"/>
      <c r="G6" s="117"/>
      <c r="H6" s="117"/>
      <c r="I6" s="117"/>
    </row>
    <row r="7" spans="1:12">
      <c r="A7" s="1610" t="s">
        <v>522</v>
      </c>
      <c r="B7" s="1610"/>
      <c r="C7" s="1610"/>
      <c r="D7" s="1610"/>
      <c r="E7" s="1610"/>
      <c r="F7" s="1610"/>
      <c r="G7" s="1610"/>
      <c r="H7" s="1610"/>
      <c r="I7" s="1610"/>
      <c r="J7" s="1610"/>
      <c r="K7" s="1610"/>
      <c r="L7" s="1610"/>
    </row>
    <row r="8" spans="1:12" ht="13.5" thickBot="1">
      <c r="A8" t="s">
        <v>7</v>
      </c>
      <c r="B8" t="s">
        <v>7</v>
      </c>
      <c r="C8" s="1610" t="s">
        <v>7</v>
      </c>
      <c r="D8" s="1610"/>
      <c r="E8" s="1610"/>
      <c r="F8" s="94"/>
    </row>
    <row r="9" spans="1:12">
      <c r="A9" s="174"/>
      <c r="B9" s="159" t="s">
        <v>147</v>
      </c>
      <c r="C9" s="1629" t="s">
        <v>523</v>
      </c>
      <c r="D9" s="1630"/>
      <c r="E9" s="174"/>
      <c r="F9" s="159" t="s">
        <v>524</v>
      </c>
      <c r="G9" s="159" t="s">
        <v>147</v>
      </c>
      <c r="H9" s="159" t="s">
        <v>147</v>
      </c>
      <c r="I9" s="159" t="s">
        <v>525</v>
      </c>
      <c r="J9" s="158"/>
      <c r="K9" s="159" t="s">
        <v>526</v>
      </c>
      <c r="L9" s="175" t="s">
        <v>527</v>
      </c>
    </row>
    <row r="10" spans="1:12">
      <c r="A10" s="172"/>
      <c r="B10" s="91" t="s">
        <v>410</v>
      </c>
      <c r="C10" s="1631"/>
      <c r="D10" s="1632"/>
      <c r="E10" s="168"/>
      <c r="F10" s="91" t="s">
        <v>528</v>
      </c>
      <c r="G10" s="91" t="s">
        <v>249</v>
      </c>
      <c r="H10" s="91" t="s">
        <v>151</v>
      </c>
      <c r="I10" s="91" t="s">
        <v>529</v>
      </c>
      <c r="J10" s="91" t="s">
        <v>530</v>
      </c>
      <c r="K10" s="91" t="s">
        <v>531</v>
      </c>
      <c r="L10" s="173" t="s">
        <v>532</v>
      </c>
    </row>
    <row r="11" spans="1:12" ht="13.5" thickBot="1">
      <c r="A11" s="176" t="s">
        <v>533</v>
      </c>
      <c r="B11" s="160" t="s">
        <v>534</v>
      </c>
      <c r="C11" s="1633"/>
      <c r="D11" s="1634"/>
      <c r="E11" s="176" t="s">
        <v>336</v>
      </c>
      <c r="F11" s="160" t="s">
        <v>535</v>
      </c>
      <c r="G11" s="160" t="s">
        <v>534</v>
      </c>
      <c r="H11" s="160" t="s">
        <v>534</v>
      </c>
      <c r="I11" s="160" t="s">
        <v>534</v>
      </c>
      <c r="J11" s="160" t="s">
        <v>536</v>
      </c>
      <c r="K11" s="177" t="s">
        <v>7</v>
      </c>
      <c r="L11" s="178" t="s">
        <v>536</v>
      </c>
    </row>
    <row r="12" spans="1:12">
      <c r="A12" s="168"/>
      <c r="B12" s="10" t="s">
        <v>353</v>
      </c>
      <c r="C12" s="10" t="s">
        <v>353</v>
      </c>
      <c r="D12" s="10" t="s">
        <v>356</v>
      </c>
      <c r="E12" s="10" t="s">
        <v>353</v>
      </c>
      <c r="F12" s="10" t="s">
        <v>537</v>
      </c>
      <c r="G12" s="179" t="s">
        <v>519</v>
      </c>
      <c r="H12" s="179" t="s">
        <v>519</v>
      </c>
      <c r="I12" s="179" t="s">
        <v>519</v>
      </c>
      <c r="J12" s="179" t="s">
        <v>519</v>
      </c>
      <c r="K12" s="180">
        <v>0.06</v>
      </c>
      <c r="L12" s="181" t="s">
        <v>519</v>
      </c>
    </row>
    <row r="13" spans="1:12">
      <c r="A13" s="168"/>
      <c r="L13" s="169"/>
    </row>
    <row r="14" spans="1:12">
      <c r="A14" s="172">
        <v>0</v>
      </c>
      <c r="B14" s="254">
        <f>InvestmentAnalysis!B15</f>
        <v>0</v>
      </c>
      <c r="C14" s="254">
        <f>InvestmentAnalysis!C15</f>
        <v>0</v>
      </c>
      <c r="D14" s="254">
        <f>InvestmentAnalysis!D15</f>
        <v>0</v>
      </c>
      <c r="E14" s="254">
        <f>InvestmentAnalysis!E15</f>
        <v>0</v>
      </c>
      <c r="F14" s="255">
        <f>InvestmentAnalysis!I15</f>
        <v>0</v>
      </c>
      <c r="G14" s="259">
        <f>InvestmentAnalysis!J15</f>
        <v>8523.7911591069951</v>
      </c>
      <c r="H14" s="259">
        <f>InvestmentAnalysis!K15</f>
        <v>0</v>
      </c>
      <c r="I14" s="257">
        <f>InvestmentAnalysis!L15</f>
        <v>-8523.7911591069951</v>
      </c>
      <c r="J14" s="257">
        <f>InvestmentAnalysis!M15</f>
        <v>-8523.7911591069951</v>
      </c>
      <c r="K14" s="294">
        <f>InvestmentAnalysis!N15</f>
        <v>1</v>
      </c>
      <c r="L14" s="260">
        <f>I14*K14</f>
        <v>-8523.7911591069951</v>
      </c>
    </row>
    <row r="15" spans="1:12">
      <c r="A15" s="172">
        <v>1</v>
      </c>
      <c r="B15" s="182">
        <f>InvestmentAnalysis!B16</f>
        <v>0</v>
      </c>
      <c r="C15" s="182">
        <f>InvestmentAnalysis!C16</f>
        <v>0</v>
      </c>
      <c r="D15" s="182">
        <f>InvestmentAnalysis!D16</f>
        <v>0</v>
      </c>
      <c r="E15" s="182">
        <f>InvestmentAnalysis!E16</f>
        <v>0</v>
      </c>
      <c r="F15" s="170">
        <f>InvestmentAnalysis!I16</f>
        <v>4567.5</v>
      </c>
      <c r="G15" s="259">
        <f>InvestmentAnalysis!J16</f>
        <v>12955.571499699347</v>
      </c>
      <c r="H15" s="259">
        <f>InvestmentAnalysis!K16</f>
        <v>0</v>
      </c>
      <c r="I15" s="257">
        <f>InvestmentAnalysis!L16</f>
        <v>-12955.571499699347</v>
      </c>
      <c r="J15" s="257">
        <f>InvestmentAnalysis!M16</f>
        <v>-21479.362658806342</v>
      </c>
      <c r="K15" s="294">
        <f>InvestmentAnalysis!N16</f>
        <v>0.94340000000000002</v>
      </c>
      <c r="L15" s="260">
        <f t="shared" ref="L15:L24" si="0">I15*K15</f>
        <v>-12222.286152816363</v>
      </c>
    </row>
    <row r="16" spans="1:12">
      <c r="A16" s="172">
        <v>2</v>
      </c>
      <c r="B16" s="182">
        <f>InvestmentAnalysis!B17</f>
        <v>16500</v>
      </c>
      <c r="C16" s="182">
        <f>InvestmentAnalysis!C17</f>
        <v>13200</v>
      </c>
      <c r="D16" s="182">
        <f>InvestmentAnalysis!D17</f>
        <v>2200.0004399999998</v>
      </c>
      <c r="E16" s="182">
        <f>InvestmentAnalysis!E17</f>
        <v>3299.9999999999991</v>
      </c>
      <c r="F16" s="170">
        <f>InvestmentAnalysis!I17</f>
        <v>10200</v>
      </c>
      <c r="G16" s="259">
        <f>InvestmentAnalysis!J17</f>
        <v>37589.86466378218</v>
      </c>
      <c r="H16" s="259">
        <f>InvestmentAnalysis!K17</f>
        <v>41066.671800000004</v>
      </c>
      <c r="I16" s="257">
        <f>InvestmentAnalysis!L17</f>
        <v>3476.8071362178234</v>
      </c>
      <c r="J16" s="257">
        <f>InvestmentAnalysis!M17</f>
        <v>-18002.555522588518</v>
      </c>
      <c r="K16" s="294">
        <f>InvestmentAnalysis!N17</f>
        <v>0.89</v>
      </c>
      <c r="L16" s="260">
        <f t="shared" si="0"/>
        <v>3094.3583512338628</v>
      </c>
    </row>
    <row r="17" spans="1:12">
      <c r="A17" s="172">
        <v>3</v>
      </c>
      <c r="B17" s="182">
        <f>InvestmentAnalysis!B18</f>
        <v>19000</v>
      </c>
      <c r="C17" s="182">
        <f>InvestmentAnalysis!C18</f>
        <v>15200</v>
      </c>
      <c r="D17" s="182">
        <f>InvestmentAnalysis!D18</f>
        <v>2533.3338400000002</v>
      </c>
      <c r="E17" s="182">
        <f>InvestmentAnalysis!E18</f>
        <v>3799.9999999999991</v>
      </c>
      <c r="F17" s="170">
        <f>InvestmentAnalysis!I18</f>
        <v>0</v>
      </c>
      <c r="G17" s="259">
        <f>InvestmentAnalysis!J18</f>
        <v>29431.033257892628</v>
      </c>
      <c r="H17" s="259">
        <f>InvestmentAnalysis!K18</f>
        <v>47288.894800000002</v>
      </c>
      <c r="I17" s="257">
        <f>InvestmentAnalysis!L18</f>
        <v>17857.861542107374</v>
      </c>
      <c r="J17" s="257">
        <f>InvestmentAnalysis!M18</f>
        <v>-144.69398048114454</v>
      </c>
      <c r="K17" s="294">
        <f>InvestmentAnalysis!N18</f>
        <v>0.83960000000000001</v>
      </c>
      <c r="L17" s="260">
        <f t="shared" si="0"/>
        <v>14993.460550753351</v>
      </c>
    </row>
    <row r="18" spans="1:12">
      <c r="A18" s="264">
        <v>4</v>
      </c>
      <c r="B18" s="182">
        <f>InvestmentAnalysis!B19</f>
        <v>19000</v>
      </c>
      <c r="C18" s="182">
        <f>InvestmentAnalysis!C19</f>
        <v>15200</v>
      </c>
      <c r="D18" s="182">
        <f>InvestmentAnalysis!D19</f>
        <v>2533.3338400000002</v>
      </c>
      <c r="E18" s="182">
        <f>InvestmentAnalysis!E19</f>
        <v>3799.9999999999991</v>
      </c>
      <c r="F18" s="170">
        <f>InvestmentAnalysis!I19</f>
        <v>0</v>
      </c>
      <c r="G18" s="259">
        <f>InvestmentAnalysis!J19</f>
        <v>29431.033257892628</v>
      </c>
      <c r="H18" s="259">
        <f>InvestmentAnalysis!K19</f>
        <v>47288.894800000002</v>
      </c>
      <c r="I18" s="257">
        <f>InvestmentAnalysis!L19</f>
        <v>17857.861542107374</v>
      </c>
      <c r="J18" s="263">
        <f>InvestmentAnalysis!M19</f>
        <v>17713.167561626229</v>
      </c>
      <c r="K18" s="294">
        <f>InvestmentAnalysis!N19</f>
        <v>0.79210000000000003</v>
      </c>
      <c r="L18" s="260">
        <f t="shared" si="0"/>
        <v>14145.212127503251</v>
      </c>
    </row>
    <row r="19" spans="1:12">
      <c r="A19" s="264">
        <v>5</v>
      </c>
      <c r="B19" s="182">
        <f>InvestmentAnalysis!B20</f>
        <v>19000</v>
      </c>
      <c r="C19" s="182">
        <f>InvestmentAnalysis!C20</f>
        <v>15200</v>
      </c>
      <c r="D19" s="182">
        <f>InvestmentAnalysis!D20</f>
        <v>2533.3384000000001</v>
      </c>
      <c r="E19" s="182">
        <f>InvestmentAnalysis!E20</f>
        <v>3799.9999999999991</v>
      </c>
      <c r="F19" s="170">
        <f>InvestmentAnalysis!I20</f>
        <v>0</v>
      </c>
      <c r="G19" s="259">
        <f>InvestmentAnalysis!J20</f>
        <v>29431.033257892628</v>
      </c>
      <c r="H19" s="259">
        <f>InvestmentAnalysis!K20</f>
        <v>47288.894800000002</v>
      </c>
      <c r="I19" s="257">
        <f>InvestmentAnalysis!L20</f>
        <v>17857.861542107374</v>
      </c>
      <c r="J19" s="263">
        <f>InvestmentAnalysis!M20</f>
        <v>35571.029103733599</v>
      </c>
      <c r="K19" s="294">
        <f>InvestmentAnalysis!N20</f>
        <v>0.74729999999999996</v>
      </c>
      <c r="L19" s="260">
        <f t="shared" si="0"/>
        <v>13345.17993041684</v>
      </c>
    </row>
    <row r="20" spans="1:12">
      <c r="A20" s="264">
        <v>6</v>
      </c>
      <c r="B20" s="182">
        <f>InvestmentAnalysis!B21</f>
        <v>19000</v>
      </c>
      <c r="C20" s="182">
        <f>InvestmentAnalysis!C21</f>
        <v>15200</v>
      </c>
      <c r="D20" s="182">
        <f>InvestmentAnalysis!D21</f>
        <v>2533.3338400000002</v>
      </c>
      <c r="E20" s="182">
        <f>InvestmentAnalysis!E21</f>
        <v>3799.9999999999991</v>
      </c>
      <c r="F20" s="170">
        <f>InvestmentAnalysis!I21</f>
        <v>0</v>
      </c>
      <c r="G20" s="259">
        <f>InvestmentAnalysis!J21</f>
        <v>29431.033257892628</v>
      </c>
      <c r="H20" s="259">
        <f>InvestmentAnalysis!K21</f>
        <v>47288.894800000002</v>
      </c>
      <c r="I20" s="257">
        <f>InvestmentAnalysis!L21</f>
        <v>17857.861542107374</v>
      </c>
      <c r="J20" s="263">
        <f>InvestmentAnalysis!M21</f>
        <v>53428.890645840977</v>
      </c>
      <c r="K20" s="294">
        <f>InvestmentAnalysis!N21</f>
        <v>0.70499999999999996</v>
      </c>
      <c r="L20" s="260">
        <f t="shared" si="0"/>
        <v>12589.792387185698</v>
      </c>
    </row>
    <row r="21" spans="1:12">
      <c r="A21" s="264">
        <v>7</v>
      </c>
      <c r="B21" s="182">
        <f>InvestmentAnalysis!B22</f>
        <v>19000</v>
      </c>
      <c r="C21" s="182">
        <f>InvestmentAnalysis!C22</f>
        <v>15200</v>
      </c>
      <c r="D21" s="182">
        <f>InvestmentAnalysis!D22</f>
        <v>2533.3338400000002</v>
      </c>
      <c r="E21" s="182">
        <f>InvestmentAnalysis!E22</f>
        <v>3799.9999999999991</v>
      </c>
      <c r="F21" s="170">
        <f>InvestmentAnalysis!I22</f>
        <v>0</v>
      </c>
      <c r="G21" s="259">
        <f>InvestmentAnalysis!J22</f>
        <v>29431.033257892628</v>
      </c>
      <c r="H21" s="259">
        <f>InvestmentAnalysis!K22</f>
        <v>47288.894800000002</v>
      </c>
      <c r="I21" s="257">
        <f>InvestmentAnalysis!L22</f>
        <v>17857.861542107374</v>
      </c>
      <c r="J21" s="263">
        <f>InvestmentAnalysis!M22</f>
        <v>71286.752187948354</v>
      </c>
      <c r="K21" s="294">
        <f>InvestmentAnalysis!N22</f>
        <v>0.66510000000000002</v>
      </c>
      <c r="L21" s="260">
        <f t="shared" si="0"/>
        <v>11877.263711655614</v>
      </c>
    </row>
    <row r="22" spans="1:12">
      <c r="A22" s="264">
        <v>8</v>
      </c>
      <c r="B22" s="182">
        <f>InvestmentAnalysis!B23</f>
        <v>19000</v>
      </c>
      <c r="C22" s="182">
        <f>InvestmentAnalysis!C23</f>
        <v>15200</v>
      </c>
      <c r="D22" s="182">
        <f>InvestmentAnalysis!D23</f>
        <v>2533.333384</v>
      </c>
      <c r="E22" s="182">
        <f>InvestmentAnalysis!E23</f>
        <v>3799.9999999999991</v>
      </c>
      <c r="F22" s="170">
        <f>InvestmentAnalysis!I23</f>
        <v>0</v>
      </c>
      <c r="G22" s="259">
        <f>InvestmentAnalysis!J23</f>
        <v>29431.033257892628</v>
      </c>
      <c r="H22" s="259">
        <f>InvestmentAnalysis!K23</f>
        <v>47288.894800000002</v>
      </c>
      <c r="I22" s="257">
        <f>InvestmentAnalysis!L23</f>
        <v>17857.861542107374</v>
      </c>
      <c r="J22" s="263">
        <f>InvestmentAnalysis!M23</f>
        <v>89144.613730055731</v>
      </c>
      <c r="K22" s="294">
        <f>InvestmentAnalysis!N23</f>
        <v>0.62739999999999996</v>
      </c>
      <c r="L22" s="260">
        <f t="shared" si="0"/>
        <v>11204.022331518165</v>
      </c>
    </row>
    <row r="23" spans="1:12">
      <c r="A23" s="172">
        <v>9</v>
      </c>
      <c r="B23" s="182">
        <f>InvestmentAnalysis!B24</f>
        <v>19000</v>
      </c>
      <c r="C23" s="182">
        <f>InvestmentAnalysis!C24</f>
        <v>15200</v>
      </c>
      <c r="D23" s="182">
        <f>InvestmentAnalysis!D24</f>
        <v>2533.3338400000002</v>
      </c>
      <c r="E23" s="182">
        <f>InvestmentAnalysis!E24</f>
        <v>3799.9999999999991</v>
      </c>
      <c r="F23" s="170">
        <f>InvestmentAnalysis!I24</f>
        <v>0</v>
      </c>
      <c r="G23" s="259">
        <f>InvestmentAnalysis!J24</f>
        <v>29431.033257892628</v>
      </c>
      <c r="H23" s="259">
        <f>InvestmentAnalysis!K24</f>
        <v>47288.894800000002</v>
      </c>
      <c r="I23" s="257">
        <f>InvestmentAnalysis!L24</f>
        <v>17857.861542107374</v>
      </c>
      <c r="J23" s="257">
        <f>InvestmentAnalysis!M24</f>
        <v>107002.47527216311</v>
      </c>
      <c r="K23" s="294">
        <f>InvestmentAnalysis!N24</f>
        <v>0.59189999999999998</v>
      </c>
      <c r="L23" s="260">
        <f t="shared" si="0"/>
        <v>10570.068246773355</v>
      </c>
    </row>
    <row r="24" spans="1:12">
      <c r="A24" s="172">
        <v>10</v>
      </c>
      <c r="B24" s="182">
        <f>InvestmentAnalysis!B25</f>
        <v>19000</v>
      </c>
      <c r="C24" s="182">
        <f>InvestmentAnalysis!C25</f>
        <v>15200</v>
      </c>
      <c r="D24" s="182">
        <f>InvestmentAnalysis!D25</f>
        <v>2533.3338400000002</v>
      </c>
      <c r="E24" s="182">
        <f>InvestmentAnalysis!E25</f>
        <v>3799.9999999999991</v>
      </c>
      <c r="F24" s="170">
        <f>InvestmentAnalysis!I25</f>
        <v>0</v>
      </c>
      <c r="G24" s="259">
        <f>InvestmentAnalysis!J25</f>
        <v>29431.033257892628</v>
      </c>
      <c r="H24" s="259">
        <f>InvestmentAnalysis!K25</f>
        <v>47288.894800000002</v>
      </c>
      <c r="I24" s="257">
        <f>InvestmentAnalysis!L25</f>
        <v>17857.861542107374</v>
      </c>
      <c r="J24" s="257">
        <f>InvestmentAnalysis!M25</f>
        <v>124860.33681427049</v>
      </c>
      <c r="K24" s="294">
        <f>InvestmentAnalysis!N25</f>
        <v>0.55840000000000001</v>
      </c>
      <c r="L24" s="260">
        <f t="shared" si="0"/>
        <v>9971.8298851127583</v>
      </c>
    </row>
    <row r="25" spans="1:12" ht="13.5" thickBot="1">
      <c r="A25" s="171"/>
      <c r="B25" s="140" t="s">
        <v>147</v>
      </c>
      <c r="C25" s="140"/>
      <c r="D25" s="140"/>
      <c r="E25" s="140"/>
      <c r="F25" s="256">
        <f>SUM(F14:F24)</f>
        <v>14767.5</v>
      </c>
      <c r="G25" s="258">
        <f>SUM(G14:G24)</f>
        <v>294517.49338572955</v>
      </c>
      <c r="H25" s="258">
        <f>SUM(H14:H24)</f>
        <v>419377.83020000003</v>
      </c>
      <c r="I25" s="256">
        <f>SUM(I14:I24)</f>
        <v>124860.33681427049</v>
      </c>
      <c r="J25" s="183" t="s">
        <v>7</v>
      </c>
      <c r="K25" s="184"/>
      <c r="L25" s="261">
        <f>SUM(L14:L24)</f>
        <v>81045.110210229541</v>
      </c>
    </row>
    <row r="27" spans="1:12">
      <c r="B27" s="11" t="s">
        <v>538</v>
      </c>
    </row>
    <row r="28" spans="1:12">
      <c r="B28" s="11" t="s">
        <v>554</v>
      </c>
    </row>
    <row r="29" spans="1:12">
      <c r="C29" s="11" t="s">
        <v>555</v>
      </c>
    </row>
    <row r="30" spans="1:12">
      <c r="B30" s="11" t="s">
        <v>556</v>
      </c>
    </row>
    <row r="31" spans="1:12">
      <c r="C31" t="s">
        <v>539</v>
      </c>
    </row>
    <row r="33" spans="3:7" ht="13.5" thickBot="1">
      <c r="C33" s="11" t="s">
        <v>553</v>
      </c>
      <c r="G33" s="186">
        <f>I25</f>
        <v>124860.33681427049</v>
      </c>
    </row>
    <row r="34" spans="3:7">
      <c r="G34" s="185"/>
    </row>
    <row r="35" spans="3:7" ht="13.5" thickBot="1">
      <c r="C35" s="11" t="s">
        <v>614</v>
      </c>
      <c r="G35" s="266" t="s">
        <v>659</v>
      </c>
    </row>
    <row r="36" spans="3:7">
      <c r="G36" s="187"/>
    </row>
    <row r="37" spans="3:7" ht="13.5" thickBot="1">
      <c r="C37" t="s">
        <v>540</v>
      </c>
      <c r="G37" s="188">
        <f>L25</f>
        <v>81045.110210229541</v>
      </c>
    </row>
  </sheetData>
  <sheetProtection password="A5F1" sheet="1" objects="1" scenarios="1"/>
  <mergeCells count="3">
    <mergeCell ref="A7:L7"/>
    <mergeCell ref="C8:E8"/>
    <mergeCell ref="C9:D11"/>
  </mergeCells>
  <pageMargins left="0.7" right="0.7" top="0.75" bottom="0.75" header="0.3" footer="0.3"/>
  <pageSetup orientation="landscape"/>
</worksheet>
</file>

<file path=xl/worksheets/sheet11.xml><?xml version="1.0" encoding="utf-8"?>
<worksheet xmlns="http://schemas.openxmlformats.org/spreadsheetml/2006/main" xmlns:r="http://schemas.openxmlformats.org/officeDocument/2006/relationships">
  <sheetPr codeName="Sheet1" enableFormatConditionsCalculation="0">
    <tabColor theme="3" tint="0.39997558519241921"/>
  </sheetPr>
  <dimension ref="A1:V44"/>
  <sheetViews>
    <sheetView zoomScaleNormal="100" zoomScaleSheetLayoutView="100" workbookViewId="0">
      <selection activeCell="G57" sqref="G57"/>
    </sheetView>
  </sheetViews>
  <sheetFormatPr defaultColWidth="8.85546875" defaultRowHeight="12.75"/>
  <cols>
    <col min="1" max="1" width="23.28515625" style="764" customWidth="1"/>
    <col min="2" max="2" width="12.28515625" style="764" customWidth="1"/>
    <col min="3" max="6" width="9.28515625" style="764" bestFit="1" customWidth="1"/>
    <col min="7" max="7" width="9.28515625" style="764" hidden="1" customWidth="1"/>
    <col min="8" max="10" width="10.7109375" style="764" customWidth="1"/>
    <col min="11" max="11" width="9.28515625" style="764" bestFit="1" customWidth="1"/>
    <col min="12" max="12" width="10.42578125" style="764" customWidth="1"/>
    <col min="13" max="13" width="11.140625" style="764" bestFit="1" customWidth="1"/>
    <col min="14" max="14" width="12.28515625" style="764" customWidth="1"/>
    <col min="15" max="15" width="12.140625" style="764" customWidth="1"/>
    <col min="16" max="16" width="11.85546875" style="764" customWidth="1"/>
    <col min="17" max="17" width="12.7109375" style="764" customWidth="1"/>
    <col min="18" max="18" width="24.7109375" style="764" customWidth="1"/>
    <col min="19" max="16384" width="8.85546875" style="764"/>
  </cols>
  <sheetData>
    <row r="1" spans="1:21">
      <c r="A1" s="13" t="s">
        <v>673</v>
      </c>
      <c r="B1" s="13"/>
      <c r="C1" s="821"/>
      <c r="D1" s="821"/>
      <c r="E1" s="821"/>
      <c r="F1" s="821"/>
      <c r="G1" s="822"/>
      <c r="H1" s="822"/>
      <c r="I1" s="822"/>
      <c r="J1" s="822"/>
      <c r="K1" s="822"/>
      <c r="L1" s="822"/>
      <c r="M1" s="822"/>
      <c r="N1" s="823"/>
      <c r="O1" s="823"/>
      <c r="P1" s="823"/>
      <c r="Q1" s="823"/>
    </row>
    <row r="2" spans="1:21" ht="13.5" thickBot="1">
      <c r="A2" s="824" t="s">
        <v>660</v>
      </c>
      <c r="B2" s="797"/>
      <c r="C2" s="825"/>
      <c r="D2" s="825"/>
      <c r="E2" s="825"/>
      <c r="F2" s="825"/>
      <c r="G2" s="826"/>
      <c r="H2" s="826"/>
      <c r="I2" s="826"/>
      <c r="J2" s="826"/>
      <c r="K2" s="826"/>
      <c r="L2" s="826"/>
      <c r="M2" s="826"/>
      <c r="N2" s="827"/>
      <c r="O2" s="827"/>
      <c r="P2" s="827"/>
      <c r="Q2" s="827"/>
      <c r="S2" s="1635" t="s">
        <v>7</v>
      </c>
      <c r="T2" s="1635"/>
      <c r="U2" s="1635"/>
    </row>
    <row r="3" spans="1:21" ht="36.950000000000003" customHeight="1" thickTop="1" thickBot="1">
      <c r="A3" s="304" t="s">
        <v>179</v>
      </c>
      <c r="B3" s="829"/>
      <c r="C3" s="830" t="s">
        <v>180</v>
      </c>
      <c r="D3" s="830" t="s">
        <v>181</v>
      </c>
      <c r="E3" s="830" t="s">
        <v>182</v>
      </c>
      <c r="F3" s="831" t="s">
        <v>335</v>
      </c>
      <c r="G3" s="831" t="s">
        <v>183</v>
      </c>
      <c r="H3" s="830" t="s">
        <v>630</v>
      </c>
      <c r="I3" s="830" t="s">
        <v>627</v>
      </c>
      <c r="J3" s="830" t="s">
        <v>185</v>
      </c>
      <c r="K3" s="830" t="s">
        <v>184</v>
      </c>
      <c r="L3" s="830" t="s">
        <v>38</v>
      </c>
      <c r="M3" s="830" t="s">
        <v>186</v>
      </c>
      <c r="N3" s="830" t="s">
        <v>632</v>
      </c>
      <c r="O3" s="830" t="s">
        <v>631</v>
      </c>
      <c r="P3" s="830" t="s">
        <v>187</v>
      </c>
      <c r="Q3" s="832" t="s">
        <v>633</v>
      </c>
      <c r="R3" s="304" t="s">
        <v>179</v>
      </c>
      <c r="S3" s="833" t="s">
        <v>628</v>
      </c>
      <c r="T3" s="833" t="s">
        <v>629</v>
      </c>
      <c r="U3" s="834" t="s">
        <v>634</v>
      </c>
    </row>
    <row r="4" spans="1:21" ht="13.5" thickTop="1">
      <c r="A4" s="835" t="s">
        <v>188</v>
      </c>
      <c r="B4" s="836" t="s">
        <v>189</v>
      </c>
      <c r="C4" s="919">
        <v>12500</v>
      </c>
      <c r="D4" s="837">
        <f>$C4*0.22047</f>
        <v>2755.875</v>
      </c>
      <c r="E4" s="925">
        <v>20</v>
      </c>
      <c r="F4" s="925">
        <v>500</v>
      </c>
      <c r="G4" s="838">
        <f t="shared" ref="G4:H19" si="0">($C4-$D4)/$E4</f>
        <v>487.20625000000001</v>
      </c>
      <c r="H4" s="839">
        <f>($C4-$D4)/$E4</f>
        <v>487.20625000000001</v>
      </c>
      <c r="I4" s="840">
        <f>D4*0.09+H4*0.05</f>
        <v>272.38906250000002</v>
      </c>
      <c r="J4" s="837">
        <f>($C4+$D4)/2*HOAssumptions!G52</f>
        <v>533.95562500000005</v>
      </c>
      <c r="K4" s="837">
        <f>($C4+$D4)/2*HOAssumptions!G53</f>
        <v>61.023499999999999</v>
      </c>
      <c r="L4" s="837">
        <f>($C4+$D4)/2*HOAssumptions!G54</f>
        <v>61.023499999999999</v>
      </c>
      <c r="M4" s="837">
        <f>$J4+$K4+$L4</f>
        <v>656.00262500000008</v>
      </c>
      <c r="N4" s="841">
        <f>(0.3*C4)/E4</f>
        <v>187.5</v>
      </c>
      <c r="O4" s="842">
        <f>(HOAssumptions!C66*HOAssumptions!B66*F4)+((HOAssumptions!C66*HOAssumptions!B66*F4)*HOAssumptions!D66)</f>
        <v>3021.7500000000005</v>
      </c>
      <c r="P4" s="843">
        <f>SUM($N4:$O4)</f>
        <v>3209.2500000000005</v>
      </c>
      <c r="Q4" s="844">
        <f t="shared" ref="Q4:Q20" si="1">$M4+$P4</f>
        <v>3865.2526250000005</v>
      </c>
      <c r="R4" s="835" t="s">
        <v>188</v>
      </c>
      <c r="S4" s="845">
        <f t="shared" ref="S4:S21" si="2">(M4)/F4</f>
        <v>1.3120052500000001</v>
      </c>
      <c r="T4" s="846">
        <f>(P4)/F4</f>
        <v>6.4185000000000008</v>
      </c>
      <c r="U4" s="847">
        <f>S4+T4</f>
        <v>7.7305052500000011</v>
      </c>
    </row>
    <row r="5" spans="1:21">
      <c r="A5" s="848" t="s">
        <v>190</v>
      </c>
      <c r="B5" s="849" t="s">
        <v>191</v>
      </c>
      <c r="C5" s="920">
        <v>24400</v>
      </c>
      <c r="D5" s="850">
        <f>$C5*0.22047</f>
        <v>5379.4679999999998</v>
      </c>
      <c r="E5" s="926">
        <v>20</v>
      </c>
      <c r="F5" s="926">
        <v>500</v>
      </c>
      <c r="G5" s="851">
        <f t="shared" si="0"/>
        <v>951.02659999999992</v>
      </c>
      <c r="H5" s="852">
        <f t="shared" si="0"/>
        <v>951.02659999999992</v>
      </c>
      <c r="I5" s="853">
        <f t="shared" ref="I5:I20" si="3">D5*0.09+H5*0.05</f>
        <v>531.70344999999998</v>
      </c>
      <c r="J5" s="850">
        <f>($C5+$D5)/2*HOAssumptions!G52</f>
        <v>1042.2813800000001</v>
      </c>
      <c r="K5" s="850">
        <f>($C5+$D5)/2*HOAssumptions!G53</f>
        <v>119.11787200000001</v>
      </c>
      <c r="L5" s="850">
        <f>($C5+$D5)/2*HOAssumptions!G54</f>
        <v>119.11787200000001</v>
      </c>
      <c r="M5" s="850">
        <f t="shared" ref="M5:M24" si="4">$J5+$K5+$L5</f>
        <v>1280.5171240000002</v>
      </c>
      <c r="N5" s="854">
        <f>(0.3*C5)/E5</f>
        <v>366</v>
      </c>
      <c r="O5" s="855">
        <f>(HOAssumptions!C67*HOAssumptions!B67*F5)+((HOAssumptions!C67*HOAssumptions!B67*F5)*HOAssumptions!D67)</f>
        <v>5036.25</v>
      </c>
      <c r="P5" s="856">
        <f t="shared" ref="P5:P24" si="5">SUM($N5:$O5)</f>
        <v>5402.25</v>
      </c>
      <c r="Q5" s="857">
        <f t="shared" si="1"/>
        <v>6682.767124</v>
      </c>
      <c r="R5" s="848" t="s">
        <v>190</v>
      </c>
      <c r="S5" s="858">
        <f t="shared" si="2"/>
        <v>2.5610342480000003</v>
      </c>
      <c r="T5" s="846">
        <f t="shared" ref="T5:T24" si="6">(P5)/F5</f>
        <v>10.804500000000001</v>
      </c>
      <c r="U5" s="859">
        <f t="shared" ref="U5:U24" si="7">S5+T5</f>
        <v>13.365534248000001</v>
      </c>
    </row>
    <row r="6" spans="1:21">
      <c r="A6" s="848" t="s">
        <v>200</v>
      </c>
      <c r="B6" s="849" t="s">
        <v>228</v>
      </c>
      <c r="C6" s="920">
        <v>750</v>
      </c>
      <c r="D6" s="850">
        <f>C6*0.22047</f>
        <v>165.35249999999999</v>
      </c>
      <c r="E6" s="926">
        <v>12</v>
      </c>
      <c r="F6" s="926">
        <v>100</v>
      </c>
      <c r="G6" s="851">
        <f t="shared" si="0"/>
        <v>48.720625000000005</v>
      </c>
      <c r="H6" s="852">
        <f t="shared" si="0"/>
        <v>48.720625000000005</v>
      </c>
      <c r="I6" s="853">
        <f t="shared" si="3"/>
        <v>17.317756249999999</v>
      </c>
      <c r="J6" s="850">
        <f>($C6+$D6)/2*HOAssumptions!G52</f>
        <v>32.0373375</v>
      </c>
      <c r="K6" s="850">
        <f>($C6+$D6)/2*HOAssumptions!G53</f>
        <v>3.6614100000000001</v>
      </c>
      <c r="L6" s="850">
        <f>($C6+$D6)/2*HOAssumptions!G54</f>
        <v>3.6614100000000001</v>
      </c>
      <c r="M6" s="850">
        <f t="shared" si="4"/>
        <v>39.3601575</v>
      </c>
      <c r="N6" s="854">
        <f>(0.52*C6)/E6</f>
        <v>32.5</v>
      </c>
      <c r="O6" s="855">
        <v>0</v>
      </c>
      <c r="P6" s="856">
        <f t="shared" si="5"/>
        <v>32.5</v>
      </c>
      <c r="Q6" s="857">
        <f t="shared" si="1"/>
        <v>71.8601575</v>
      </c>
      <c r="R6" s="848" t="s">
        <v>200</v>
      </c>
      <c r="S6" s="858">
        <f t="shared" si="2"/>
        <v>0.39360157499999998</v>
      </c>
      <c r="T6" s="846">
        <f t="shared" si="6"/>
        <v>0.32500000000000001</v>
      </c>
      <c r="U6" s="859">
        <f t="shared" si="7"/>
        <v>0.71860157499999999</v>
      </c>
    </row>
    <row r="7" spans="1:21" s="12" customFormat="1">
      <c r="A7" s="860" t="s">
        <v>237</v>
      </c>
      <c r="B7" s="861" t="s">
        <v>289</v>
      </c>
      <c r="C7" s="920">
        <v>1000</v>
      </c>
      <c r="D7" s="850">
        <f>C7*0.22047</f>
        <v>220.47</v>
      </c>
      <c r="E7" s="926">
        <v>15</v>
      </c>
      <c r="F7" s="926">
        <v>100</v>
      </c>
      <c r="G7" s="851">
        <f t="shared" si="0"/>
        <v>51.968666666666664</v>
      </c>
      <c r="H7" s="852">
        <f t="shared" si="0"/>
        <v>51.968666666666664</v>
      </c>
      <c r="I7" s="853">
        <f t="shared" si="3"/>
        <v>22.440733333333331</v>
      </c>
      <c r="J7" s="850">
        <v>0</v>
      </c>
      <c r="K7" s="850">
        <v>0</v>
      </c>
      <c r="L7" s="850">
        <v>0</v>
      </c>
      <c r="M7" s="850">
        <f t="shared" si="4"/>
        <v>0</v>
      </c>
      <c r="N7" s="854">
        <f>(0.52*C7)/E7</f>
        <v>34.666666666666664</v>
      </c>
      <c r="O7" s="855">
        <v>0</v>
      </c>
      <c r="P7" s="856">
        <f t="shared" si="5"/>
        <v>34.666666666666664</v>
      </c>
      <c r="Q7" s="857">
        <f t="shared" si="1"/>
        <v>34.666666666666664</v>
      </c>
      <c r="R7" s="860" t="s">
        <v>237</v>
      </c>
      <c r="S7" s="858">
        <f t="shared" si="2"/>
        <v>0</v>
      </c>
      <c r="T7" s="846">
        <f t="shared" si="6"/>
        <v>0.34666666666666662</v>
      </c>
      <c r="U7" s="859">
        <f t="shared" si="7"/>
        <v>0.34666666666666662</v>
      </c>
    </row>
    <row r="8" spans="1:21">
      <c r="A8" s="848" t="s">
        <v>201</v>
      </c>
      <c r="B8" s="849" t="s">
        <v>229</v>
      </c>
      <c r="C8" s="920">
        <v>6000</v>
      </c>
      <c r="D8" s="850">
        <v>429</v>
      </c>
      <c r="E8" s="926">
        <v>12</v>
      </c>
      <c r="F8" s="926">
        <v>125</v>
      </c>
      <c r="G8" s="851">
        <f t="shared" si="0"/>
        <v>464.25</v>
      </c>
      <c r="H8" s="852">
        <f t="shared" si="0"/>
        <v>464.25</v>
      </c>
      <c r="I8" s="853">
        <f t="shared" si="3"/>
        <v>61.822500000000005</v>
      </c>
      <c r="J8" s="850">
        <f>($C8+$D8)/2*HOAssumptions!G52</f>
        <v>225.01500000000001</v>
      </c>
      <c r="K8" s="850">
        <f>($C8+$D8)/2*HOAssumptions!G53</f>
        <v>25.716000000000001</v>
      </c>
      <c r="L8" s="850">
        <f>($C8+$D8)/2*HOAssumptions!G54</f>
        <v>25.716000000000001</v>
      </c>
      <c r="M8" s="850">
        <f t="shared" si="4"/>
        <v>276.447</v>
      </c>
      <c r="N8" s="854">
        <f>(0.52*C8)/E8</f>
        <v>260</v>
      </c>
      <c r="O8" s="855">
        <v>0</v>
      </c>
      <c r="P8" s="856">
        <f t="shared" si="5"/>
        <v>260</v>
      </c>
      <c r="Q8" s="857">
        <f t="shared" si="1"/>
        <v>536.447</v>
      </c>
      <c r="R8" s="848" t="s">
        <v>201</v>
      </c>
      <c r="S8" s="858">
        <f t="shared" si="2"/>
        <v>2.211576</v>
      </c>
      <c r="T8" s="846">
        <f t="shared" si="6"/>
        <v>2.08</v>
      </c>
      <c r="U8" s="859">
        <f t="shared" si="7"/>
        <v>4.2915760000000001</v>
      </c>
    </row>
    <row r="9" spans="1:21">
      <c r="A9" s="848" t="s">
        <v>202</v>
      </c>
      <c r="B9" s="849" t="s">
        <v>192</v>
      </c>
      <c r="C9" s="920">
        <v>2600</v>
      </c>
      <c r="D9" s="850">
        <f>C9*0.22047</f>
        <v>573.22199999999998</v>
      </c>
      <c r="E9" s="926">
        <v>15</v>
      </c>
      <c r="F9" s="927">
        <v>150</v>
      </c>
      <c r="G9" s="851">
        <f t="shared" si="0"/>
        <v>135.11853333333335</v>
      </c>
      <c r="H9" s="852">
        <f t="shared" si="0"/>
        <v>135.11853333333335</v>
      </c>
      <c r="I9" s="853">
        <f t="shared" si="3"/>
        <v>58.345906666666664</v>
      </c>
      <c r="J9" s="850">
        <f>($C9+$D9)/2*HOAssumptions!G52</f>
        <v>111.06277</v>
      </c>
      <c r="K9" s="850">
        <f>($C9+$D9)/2*HOAssumptions!G53</f>
        <v>12.692888</v>
      </c>
      <c r="L9" s="850">
        <f>($C9+$D9)/2*HOAssumptions!G54</f>
        <v>12.692888</v>
      </c>
      <c r="M9" s="850">
        <f t="shared" si="4"/>
        <v>136.44854599999999</v>
      </c>
      <c r="N9" s="854">
        <f>(0.44*C9)/E9</f>
        <v>76.266666666666666</v>
      </c>
      <c r="O9" s="855">
        <v>0</v>
      </c>
      <c r="P9" s="856">
        <f t="shared" si="5"/>
        <v>76.266666666666666</v>
      </c>
      <c r="Q9" s="857">
        <f t="shared" si="1"/>
        <v>212.71521266666667</v>
      </c>
      <c r="R9" s="848" t="s">
        <v>202</v>
      </c>
      <c r="S9" s="858">
        <f t="shared" si="2"/>
        <v>0.90965697333333329</v>
      </c>
      <c r="T9" s="846">
        <f t="shared" si="6"/>
        <v>0.50844444444444448</v>
      </c>
      <c r="U9" s="859">
        <f t="shared" si="7"/>
        <v>1.4181014177777778</v>
      </c>
    </row>
    <row r="10" spans="1:21">
      <c r="A10" s="848" t="s">
        <v>213</v>
      </c>
      <c r="B10" s="849" t="s">
        <v>192</v>
      </c>
      <c r="C10" s="920">
        <v>3000</v>
      </c>
      <c r="D10" s="850">
        <v>288</v>
      </c>
      <c r="E10" s="926">
        <v>15</v>
      </c>
      <c r="F10" s="926">
        <v>125</v>
      </c>
      <c r="G10" s="851">
        <f t="shared" ref="G10:G17" si="8">($C10-$D10)/$E10</f>
        <v>180.8</v>
      </c>
      <c r="H10" s="852">
        <f t="shared" si="0"/>
        <v>180.8</v>
      </c>
      <c r="I10" s="853">
        <f t="shared" si="3"/>
        <v>34.96</v>
      </c>
      <c r="J10" s="850">
        <f>($C10+$D10)/2*HOAssumptions!G52</f>
        <v>115.08000000000001</v>
      </c>
      <c r="K10" s="850">
        <f>($C10+$D10)/2*HOAssumptions!G53</f>
        <v>13.152000000000001</v>
      </c>
      <c r="L10" s="850">
        <f>($C10+$D10)/2*HOAssumptions!G54</f>
        <v>13.152000000000001</v>
      </c>
      <c r="M10" s="850">
        <f t="shared" si="4"/>
        <v>141.38400000000001</v>
      </c>
      <c r="N10" s="854">
        <f>(0.44*C10)/E10</f>
        <v>88</v>
      </c>
      <c r="O10" s="855">
        <v>0</v>
      </c>
      <c r="P10" s="856">
        <f t="shared" si="5"/>
        <v>88</v>
      </c>
      <c r="Q10" s="857">
        <f t="shared" si="1"/>
        <v>229.38400000000001</v>
      </c>
      <c r="R10" s="848" t="s">
        <v>213</v>
      </c>
      <c r="S10" s="858">
        <f t="shared" si="2"/>
        <v>1.1310720000000001</v>
      </c>
      <c r="T10" s="846">
        <f t="shared" si="6"/>
        <v>0.70399999999999996</v>
      </c>
      <c r="U10" s="859">
        <f t="shared" si="7"/>
        <v>1.835072</v>
      </c>
    </row>
    <row r="11" spans="1:21">
      <c r="A11" s="848" t="s">
        <v>193</v>
      </c>
      <c r="B11" s="849" t="s">
        <v>223</v>
      </c>
      <c r="C11" s="920">
        <v>5000</v>
      </c>
      <c r="D11" s="850">
        <v>480</v>
      </c>
      <c r="E11" s="926">
        <v>15</v>
      </c>
      <c r="F11" s="926">
        <v>125</v>
      </c>
      <c r="G11" s="851">
        <f t="shared" si="8"/>
        <v>301.33333333333331</v>
      </c>
      <c r="H11" s="852">
        <f t="shared" si="0"/>
        <v>301.33333333333331</v>
      </c>
      <c r="I11" s="853">
        <f t="shared" si="3"/>
        <v>58.266666666666666</v>
      </c>
      <c r="J11" s="850">
        <f>($C11+$D11)/2*HOAssumptions!G52</f>
        <v>191.8</v>
      </c>
      <c r="K11" s="850">
        <f>($C11+$D11)/2*HOAssumptions!G53</f>
        <v>21.92</v>
      </c>
      <c r="L11" s="850">
        <f>($C11+$D11)/2*HOAssumptions!G54</f>
        <v>21.92</v>
      </c>
      <c r="M11" s="850">
        <f t="shared" si="4"/>
        <v>235.64000000000004</v>
      </c>
      <c r="N11" s="854">
        <f>(0.3*C11)/E11</f>
        <v>100</v>
      </c>
      <c r="O11" s="855">
        <v>0</v>
      </c>
      <c r="P11" s="856">
        <f t="shared" si="5"/>
        <v>100</v>
      </c>
      <c r="Q11" s="857">
        <f t="shared" si="1"/>
        <v>335.64000000000004</v>
      </c>
      <c r="R11" s="848" t="s">
        <v>193</v>
      </c>
      <c r="S11" s="858">
        <f t="shared" si="2"/>
        <v>1.8851200000000004</v>
      </c>
      <c r="T11" s="846">
        <f t="shared" si="6"/>
        <v>0.8</v>
      </c>
      <c r="U11" s="859">
        <f t="shared" si="7"/>
        <v>2.6851200000000004</v>
      </c>
    </row>
    <row r="12" spans="1:21">
      <c r="A12" s="848" t="s">
        <v>194</v>
      </c>
      <c r="B12" s="849" t="s">
        <v>224</v>
      </c>
      <c r="C12" s="920">
        <v>2000</v>
      </c>
      <c r="D12" s="850">
        <f>C12*0.22047</f>
        <v>440.94</v>
      </c>
      <c r="E12" s="926">
        <v>15</v>
      </c>
      <c r="F12" s="926">
        <v>100</v>
      </c>
      <c r="G12" s="851">
        <f t="shared" si="8"/>
        <v>103.93733333333333</v>
      </c>
      <c r="H12" s="852">
        <f t="shared" si="0"/>
        <v>103.93733333333333</v>
      </c>
      <c r="I12" s="853">
        <f t="shared" si="3"/>
        <v>44.881466666666661</v>
      </c>
      <c r="J12" s="850">
        <f>($C12+$D12)/2*HOAssumptions!G52</f>
        <v>85.432900000000004</v>
      </c>
      <c r="K12" s="850">
        <f>($C12+$D12)/2*HOAssumptions!G53</f>
        <v>9.7637599999999996</v>
      </c>
      <c r="L12" s="850">
        <f>($C12+$D12)/2*HOAssumptions!G54</f>
        <v>9.7637599999999996</v>
      </c>
      <c r="M12" s="850">
        <f t="shared" si="4"/>
        <v>104.96042000000001</v>
      </c>
      <c r="N12" s="854">
        <f>(0.3*C12)/E12</f>
        <v>40</v>
      </c>
      <c r="O12" s="855">
        <v>0</v>
      </c>
      <c r="P12" s="856">
        <f t="shared" si="5"/>
        <v>40</v>
      </c>
      <c r="Q12" s="857">
        <f t="shared" si="1"/>
        <v>144.96042</v>
      </c>
      <c r="R12" s="848" t="s">
        <v>194</v>
      </c>
      <c r="S12" s="858">
        <f t="shared" si="2"/>
        <v>1.0496042000000001</v>
      </c>
      <c r="T12" s="846">
        <f t="shared" si="6"/>
        <v>0.4</v>
      </c>
      <c r="U12" s="859">
        <f t="shared" si="7"/>
        <v>1.4496042</v>
      </c>
    </row>
    <row r="13" spans="1:21">
      <c r="A13" s="848" t="s">
        <v>214</v>
      </c>
      <c r="B13" s="849" t="s">
        <v>289</v>
      </c>
      <c r="C13" s="920">
        <v>7000</v>
      </c>
      <c r="D13" s="850">
        <f>0.22047*C13</f>
        <v>1543.29</v>
      </c>
      <c r="E13" s="926">
        <v>20</v>
      </c>
      <c r="F13" s="926">
        <v>10</v>
      </c>
      <c r="G13" s="851">
        <f t="shared" si="8"/>
        <v>272.83550000000002</v>
      </c>
      <c r="H13" s="852">
        <f t="shared" si="0"/>
        <v>272.83550000000002</v>
      </c>
      <c r="I13" s="853">
        <f t="shared" si="3"/>
        <v>152.53787499999999</v>
      </c>
      <c r="J13" s="850">
        <f>($C13+$D13)/2*HOAssumptions!G52</f>
        <v>299.01515000000006</v>
      </c>
      <c r="K13" s="850">
        <f>($C13+$D13)/2*HOAssumptions!G53</f>
        <v>34.173160000000003</v>
      </c>
      <c r="L13" s="850">
        <f>($C13+$D13)/2*HOAssumptions!G54</f>
        <v>34.173160000000003</v>
      </c>
      <c r="M13" s="850">
        <f t="shared" si="4"/>
        <v>367.36147000000005</v>
      </c>
      <c r="N13" s="854">
        <f>(0.52*C13)/E13</f>
        <v>182</v>
      </c>
      <c r="O13" s="855">
        <v>0</v>
      </c>
      <c r="P13" s="856">
        <f t="shared" si="5"/>
        <v>182</v>
      </c>
      <c r="Q13" s="857">
        <f t="shared" si="1"/>
        <v>549.36147000000005</v>
      </c>
      <c r="R13" s="848" t="s">
        <v>214</v>
      </c>
      <c r="S13" s="858">
        <f t="shared" si="2"/>
        <v>36.736147000000003</v>
      </c>
      <c r="T13" s="846">
        <f t="shared" si="6"/>
        <v>18.2</v>
      </c>
      <c r="U13" s="859">
        <f t="shared" si="7"/>
        <v>54.936147000000005</v>
      </c>
    </row>
    <row r="14" spans="1:21">
      <c r="A14" s="860" t="s">
        <v>867</v>
      </c>
      <c r="B14" s="862" t="s">
        <v>381</v>
      </c>
      <c r="C14" s="920">
        <v>15000</v>
      </c>
      <c r="D14" s="850">
        <f>C14*0.22407</f>
        <v>3361.0499999999997</v>
      </c>
      <c r="E14" s="926">
        <v>10</v>
      </c>
      <c r="F14" s="926">
        <v>4320</v>
      </c>
      <c r="G14" s="851">
        <f>($C14-$D14)/$E14</f>
        <v>1163.895</v>
      </c>
      <c r="H14" s="852">
        <f t="shared" si="0"/>
        <v>1163.895</v>
      </c>
      <c r="I14" s="853">
        <f t="shared" si="3"/>
        <v>360.68924999999996</v>
      </c>
      <c r="J14" s="850">
        <f>($C14+$D14)/2*HOAssumptions!G52</f>
        <v>642.63675000000001</v>
      </c>
      <c r="K14" s="850">
        <f>($C14+$D14)/2*HOAssumptions!G53</f>
        <v>73.444199999999995</v>
      </c>
      <c r="L14" s="850">
        <f>($C14+$D14)/2*HOAssumptions!G54</f>
        <v>73.444199999999995</v>
      </c>
      <c r="M14" s="850">
        <f t="shared" si="4"/>
        <v>789.52515000000005</v>
      </c>
      <c r="N14" s="854">
        <f>(0.3*C14)/E14</f>
        <v>450</v>
      </c>
      <c r="O14" s="855">
        <f>F14*B29</f>
        <v>16632</v>
      </c>
      <c r="P14" s="856">
        <f>SUM($N14:$O14)</f>
        <v>17082</v>
      </c>
      <c r="Q14" s="857">
        <f t="shared" si="1"/>
        <v>17871.525150000001</v>
      </c>
      <c r="R14" s="860" t="s">
        <v>378</v>
      </c>
      <c r="S14" s="858">
        <f t="shared" si="2"/>
        <v>0.18276045138888891</v>
      </c>
      <c r="T14" s="846">
        <f t="shared" si="6"/>
        <v>3.9541666666666666</v>
      </c>
      <c r="U14" s="859">
        <f t="shared" si="7"/>
        <v>4.1369271180555556</v>
      </c>
    </row>
    <row r="15" spans="1:21">
      <c r="A15" s="860" t="s">
        <v>379</v>
      </c>
      <c r="B15" s="862" t="s">
        <v>381</v>
      </c>
      <c r="C15" s="920">
        <v>30000</v>
      </c>
      <c r="D15" s="850">
        <f>C15*0.22407</f>
        <v>6722.0999999999995</v>
      </c>
      <c r="E15" s="926">
        <v>20</v>
      </c>
      <c r="F15" s="926">
        <v>4320</v>
      </c>
      <c r="G15" s="851">
        <f>($C15-$D15)/$E15</f>
        <v>1163.895</v>
      </c>
      <c r="H15" s="852">
        <f t="shared" si="0"/>
        <v>1163.895</v>
      </c>
      <c r="I15" s="853">
        <f t="shared" si="3"/>
        <v>663.18374999999992</v>
      </c>
      <c r="J15" s="850">
        <f>($C15+$D15)/2*HOAssumptions!G52</f>
        <v>1285.2735</v>
      </c>
      <c r="K15" s="850">
        <f>($C15+$D15)/2*HOAssumptions!G53</f>
        <v>146.88839999999999</v>
      </c>
      <c r="L15" s="850">
        <f>($C15+$D15)/2*HOAssumptions!G54</f>
        <v>146.88839999999999</v>
      </c>
      <c r="M15" s="850">
        <f t="shared" si="4"/>
        <v>1579.0503000000001</v>
      </c>
      <c r="N15" s="854">
        <f>(0.3*C15)/E15</f>
        <v>450</v>
      </c>
      <c r="O15" s="855">
        <f>F15*B29</f>
        <v>16632</v>
      </c>
      <c r="P15" s="856">
        <f>SUM($N15:$O15)</f>
        <v>17082</v>
      </c>
      <c r="Q15" s="857">
        <f t="shared" si="1"/>
        <v>18661.050299999999</v>
      </c>
      <c r="R15" s="860" t="s">
        <v>379</v>
      </c>
      <c r="S15" s="858">
        <f t="shared" si="2"/>
        <v>0.36552090277777782</v>
      </c>
      <c r="T15" s="846">
        <f t="shared" si="6"/>
        <v>3.9541666666666666</v>
      </c>
      <c r="U15" s="859">
        <f t="shared" si="7"/>
        <v>4.3196875694444445</v>
      </c>
    </row>
    <row r="16" spans="1:21" s="12" customFormat="1">
      <c r="A16" s="860" t="s">
        <v>380</v>
      </c>
      <c r="B16" s="862" t="s">
        <v>382</v>
      </c>
      <c r="C16" s="920">
        <v>40000</v>
      </c>
      <c r="D16" s="850">
        <f>C16*0.22407</f>
        <v>8962.7999999999993</v>
      </c>
      <c r="E16" s="926">
        <v>20</v>
      </c>
      <c r="F16" s="926">
        <v>1256</v>
      </c>
      <c r="G16" s="851">
        <f>($C16-$D16)/$E16</f>
        <v>1551.8600000000001</v>
      </c>
      <c r="H16" s="852">
        <f t="shared" si="0"/>
        <v>1551.8600000000001</v>
      </c>
      <c r="I16" s="853">
        <f t="shared" si="3"/>
        <v>884.24499999999989</v>
      </c>
      <c r="J16" s="850">
        <f>($C16+$D16)/2*HOAssumptions!G52</f>
        <v>1713.6980000000003</v>
      </c>
      <c r="K16" s="850">
        <f>($C16+$D16)/2*HOAssumptions!G53</f>
        <v>195.85120000000001</v>
      </c>
      <c r="L16" s="850">
        <f>($C16+$D16)/2*HOAssumptions!G54</f>
        <v>195.85120000000001</v>
      </c>
      <c r="M16" s="850">
        <f t="shared" si="4"/>
        <v>2105.4004000000004</v>
      </c>
      <c r="N16" s="854">
        <f>(0.3*C16)/E16</f>
        <v>600</v>
      </c>
      <c r="O16" s="855">
        <f>F16*B30</f>
        <v>37.68</v>
      </c>
      <c r="P16" s="856">
        <f>SUM($N16:$O16)</f>
        <v>637.67999999999995</v>
      </c>
      <c r="Q16" s="857">
        <f t="shared" si="1"/>
        <v>2743.0804000000003</v>
      </c>
      <c r="R16" s="860" t="s">
        <v>342</v>
      </c>
      <c r="S16" s="858">
        <f t="shared" si="2"/>
        <v>1.6762742038216565</v>
      </c>
      <c r="T16" s="846">
        <f t="shared" si="6"/>
        <v>0.50770700636942667</v>
      </c>
      <c r="U16" s="859">
        <f t="shared" si="7"/>
        <v>2.1839812101910834</v>
      </c>
    </row>
    <row r="17" spans="1:22">
      <c r="A17" s="860" t="s">
        <v>198</v>
      </c>
      <c r="B17" s="862">
        <v>400</v>
      </c>
      <c r="C17" s="920">
        <v>400</v>
      </c>
      <c r="D17" s="850">
        <f>C17*0.22407</f>
        <v>89.628</v>
      </c>
      <c r="E17" s="926">
        <v>10</v>
      </c>
      <c r="F17" s="926">
        <v>150</v>
      </c>
      <c r="G17" s="851">
        <f t="shared" si="8"/>
        <v>31.037200000000002</v>
      </c>
      <c r="H17" s="852">
        <f t="shared" si="0"/>
        <v>31.037200000000002</v>
      </c>
      <c r="I17" s="853">
        <f t="shared" si="3"/>
        <v>9.6183800000000002</v>
      </c>
      <c r="J17" s="850">
        <f>($C17+$D17)/2*HOAssumptions!G52</f>
        <v>17.136980000000001</v>
      </c>
      <c r="K17" s="850">
        <f>($C17+$D17)/2*HOAssumptions!G53</f>
        <v>1.958512</v>
      </c>
      <c r="L17" s="850">
        <f>($C17+$D17)/2*HOAssumptions!G54</f>
        <v>1.958512</v>
      </c>
      <c r="M17" s="850">
        <f t="shared" si="4"/>
        <v>21.054003999999999</v>
      </c>
      <c r="N17" s="854">
        <f>(0.3*C17)/E17</f>
        <v>12</v>
      </c>
      <c r="O17" s="855">
        <v>0</v>
      </c>
      <c r="P17" s="856">
        <f t="shared" si="5"/>
        <v>12</v>
      </c>
      <c r="Q17" s="857">
        <f t="shared" si="1"/>
        <v>33.054003999999999</v>
      </c>
      <c r="R17" s="860" t="s">
        <v>198</v>
      </c>
      <c r="S17" s="858">
        <f t="shared" si="2"/>
        <v>0.14036002666666667</v>
      </c>
      <c r="T17" s="846">
        <f t="shared" si="6"/>
        <v>0.08</v>
      </c>
      <c r="U17" s="859">
        <f t="shared" si="7"/>
        <v>0.22036002666666665</v>
      </c>
    </row>
    <row r="18" spans="1:22">
      <c r="A18" s="860" t="s">
        <v>196</v>
      </c>
      <c r="B18" s="862" t="s">
        <v>289</v>
      </c>
      <c r="C18" s="920">
        <v>18000</v>
      </c>
      <c r="D18" s="850">
        <f>C18*0.22407</f>
        <v>4033.2599999999998</v>
      </c>
      <c r="E18" s="926">
        <v>30</v>
      </c>
      <c r="F18" s="926">
        <v>150</v>
      </c>
      <c r="G18" s="851">
        <f>($C18-$D18)/$E18</f>
        <v>465.55799999999999</v>
      </c>
      <c r="H18" s="852">
        <f t="shared" si="0"/>
        <v>465.55799999999999</v>
      </c>
      <c r="I18" s="853">
        <f t="shared" si="3"/>
        <v>386.27129999999994</v>
      </c>
      <c r="J18" s="850">
        <f>($C18+$D18)/2*HOAssumptions!G52</f>
        <v>771.16409999999996</v>
      </c>
      <c r="K18" s="850">
        <f>($C18+$D18)/2*HOAssumptions!G53</f>
        <v>88.133039999999994</v>
      </c>
      <c r="L18" s="850">
        <f>($C18+$D18)/2*HOAssumptions!G54</f>
        <v>88.133039999999994</v>
      </c>
      <c r="M18" s="850">
        <f>$J18+$K18+$L18</f>
        <v>947.43017999999984</v>
      </c>
      <c r="N18" s="854">
        <f>(0.2*C18)/E18</f>
        <v>120</v>
      </c>
      <c r="O18" s="855">
        <v>0</v>
      </c>
      <c r="P18" s="856">
        <f>SUM($N18:$O18)</f>
        <v>120</v>
      </c>
      <c r="Q18" s="857">
        <f t="shared" si="1"/>
        <v>1067.4301799999998</v>
      </c>
      <c r="R18" s="860" t="s">
        <v>196</v>
      </c>
      <c r="S18" s="858">
        <f t="shared" si="2"/>
        <v>6.3162011999999992</v>
      </c>
      <c r="T18" s="846">
        <f t="shared" si="6"/>
        <v>0.8</v>
      </c>
      <c r="U18" s="859">
        <f t="shared" si="7"/>
        <v>7.116201199999999</v>
      </c>
    </row>
    <row r="19" spans="1:22">
      <c r="A19" s="860" t="s">
        <v>303</v>
      </c>
      <c r="B19" s="862" t="s">
        <v>289</v>
      </c>
      <c r="C19" s="920">
        <v>13275</v>
      </c>
      <c r="D19" s="850">
        <v>0</v>
      </c>
      <c r="E19" s="926">
        <v>10</v>
      </c>
      <c r="F19" s="926">
        <v>150</v>
      </c>
      <c r="G19" s="851">
        <f>($C19-$D19)/$E19</f>
        <v>1327.5</v>
      </c>
      <c r="H19" s="863">
        <f t="shared" si="0"/>
        <v>1327.5</v>
      </c>
      <c r="I19" s="864">
        <f t="shared" si="3"/>
        <v>66.375</v>
      </c>
      <c r="J19" s="850">
        <f>($C19+$D19)/2*HOAssumptions!G52</f>
        <v>464.62500000000006</v>
      </c>
      <c r="K19" s="850">
        <f>($C19+$D19)/2*HOAssumptions!G53</f>
        <v>53.1</v>
      </c>
      <c r="L19" s="850">
        <f>($C19+$D19)/2*HOAssumptions!G54</f>
        <v>53.1</v>
      </c>
      <c r="M19" s="850">
        <f>$J19+$K19+$L19</f>
        <v>570.82500000000005</v>
      </c>
      <c r="N19" s="854">
        <f>0.05*(C19-7250)</f>
        <v>301.25</v>
      </c>
      <c r="O19" s="855">
        <v>500</v>
      </c>
      <c r="P19" s="856">
        <f>SUM($N19:$O19)</f>
        <v>801.25</v>
      </c>
      <c r="Q19" s="857">
        <f t="shared" si="1"/>
        <v>1372.075</v>
      </c>
      <c r="R19" s="860" t="s">
        <v>388</v>
      </c>
      <c r="S19" s="858">
        <f t="shared" si="2"/>
        <v>3.8055000000000003</v>
      </c>
      <c r="T19" s="846">
        <f t="shared" si="6"/>
        <v>5.3416666666666668</v>
      </c>
      <c r="U19" s="859">
        <f t="shared" si="7"/>
        <v>9.1471666666666671</v>
      </c>
    </row>
    <row r="20" spans="1:22" ht="15" customHeight="1">
      <c r="A20" s="860" t="s">
        <v>287</v>
      </c>
      <c r="B20" s="862" t="s">
        <v>288</v>
      </c>
      <c r="C20" s="920">
        <v>7699</v>
      </c>
      <c r="D20" s="850">
        <f>C20*0.22407</f>
        <v>1725.11493</v>
      </c>
      <c r="E20" s="926">
        <v>10</v>
      </c>
      <c r="F20" s="926">
        <v>840</v>
      </c>
      <c r="G20" s="851">
        <f>($C20-$D20)/$E20</f>
        <v>597.388507</v>
      </c>
      <c r="H20" s="863">
        <f>($C20-$D20)/$E20</f>
        <v>597.388507</v>
      </c>
      <c r="I20" s="864">
        <f t="shared" si="3"/>
        <v>185.12976904999999</v>
      </c>
      <c r="J20" s="850">
        <f>($C20+$D20)/2*HOAssumptions!G52</f>
        <v>329.84402255000003</v>
      </c>
      <c r="K20" s="850">
        <f>($C20+$D20)/2*HOAssumptions!G53</f>
        <v>37.69645972</v>
      </c>
      <c r="L20" s="850">
        <f>($C20+$D20)/2*HOAssumptions!G54</f>
        <v>37.69645972</v>
      </c>
      <c r="M20" s="850">
        <f>$J20+$K20+$L20</f>
        <v>405.23694199000005</v>
      </c>
      <c r="N20" s="854">
        <f>(0.3*C20)/E20</f>
        <v>230.96999999999997</v>
      </c>
      <c r="O20" s="855">
        <f>(HOAssumptions!C68*HOAssumptions!B68*F20)+((HOAssumptions!C68*HOAssumptions!B68*F20)*HOAssumptions!D68)</f>
        <v>1076.355</v>
      </c>
      <c r="P20" s="856">
        <f>SUM($N20:$O20)</f>
        <v>1307.325</v>
      </c>
      <c r="Q20" s="857">
        <f t="shared" si="1"/>
        <v>1712.5619419900002</v>
      </c>
      <c r="R20" s="865" t="s">
        <v>287</v>
      </c>
      <c r="S20" s="858">
        <f t="shared" si="2"/>
        <v>0.48242493094047623</v>
      </c>
      <c r="T20" s="846">
        <f t="shared" si="6"/>
        <v>1.5563392857142857</v>
      </c>
      <c r="U20" s="859">
        <f t="shared" si="7"/>
        <v>2.0387642166547622</v>
      </c>
    </row>
    <row r="21" spans="1:22" ht="15" customHeight="1" thickBot="1">
      <c r="A21" s="866" t="s">
        <v>868</v>
      </c>
      <c r="B21" s="867"/>
      <c r="C21" s="868"/>
      <c r="D21" s="869"/>
      <c r="E21" s="928">
        <v>10</v>
      </c>
      <c r="F21" s="928">
        <v>192</v>
      </c>
      <c r="G21" s="870"/>
      <c r="H21" s="870"/>
      <c r="I21" s="871"/>
      <c r="J21" s="869"/>
      <c r="K21" s="869"/>
      <c r="L21" s="869"/>
      <c r="M21" s="869"/>
      <c r="N21" s="872">
        <f>50/E21</f>
        <v>5</v>
      </c>
      <c r="O21" s="873">
        <f>((1/HOAssumptions!C69)*HOAssumptions!B69*F21)+(((1/HOAssumptions!C69)*HOAssumptions!B69*F21)*HOAssumptions!D69)</f>
        <v>328.03200000000004</v>
      </c>
      <c r="P21" s="874">
        <f>SUM($N21:$O21)</f>
        <v>333.03200000000004</v>
      </c>
      <c r="Q21" s="875">
        <f>P21</f>
        <v>333.03200000000004</v>
      </c>
      <c r="R21" s="876" t="s">
        <v>868</v>
      </c>
      <c r="S21" s="877">
        <f t="shared" si="2"/>
        <v>0</v>
      </c>
      <c r="T21" s="846">
        <f t="shared" si="6"/>
        <v>1.7345416666666669</v>
      </c>
      <c r="U21" s="859">
        <f t="shared" si="7"/>
        <v>1.7345416666666669</v>
      </c>
    </row>
    <row r="22" spans="1:22" ht="37.700000000000003" customHeight="1" thickTop="1" thickBot="1">
      <c r="A22" s="304" t="s">
        <v>635</v>
      </c>
      <c r="B22" s="829"/>
      <c r="C22" s="830" t="s">
        <v>180</v>
      </c>
      <c r="D22" s="830" t="s">
        <v>181</v>
      </c>
      <c r="E22" s="830" t="s">
        <v>182</v>
      </c>
      <c r="F22" s="831" t="s">
        <v>335</v>
      </c>
      <c r="G22" s="831" t="s">
        <v>183</v>
      </c>
      <c r="H22" s="878" t="s">
        <v>630</v>
      </c>
      <c r="I22" s="878" t="s">
        <v>627</v>
      </c>
      <c r="J22" s="830" t="s">
        <v>185</v>
      </c>
      <c r="K22" s="830" t="s">
        <v>184</v>
      </c>
      <c r="L22" s="830" t="s">
        <v>38</v>
      </c>
      <c r="M22" s="830" t="s">
        <v>186</v>
      </c>
      <c r="N22" s="830" t="s">
        <v>632</v>
      </c>
      <c r="O22" s="830" t="s">
        <v>631</v>
      </c>
      <c r="P22" s="830" t="s">
        <v>187</v>
      </c>
      <c r="Q22" s="832" t="s">
        <v>633</v>
      </c>
      <c r="R22" s="304" t="s">
        <v>635</v>
      </c>
      <c r="S22" s="833" t="s">
        <v>628</v>
      </c>
      <c r="T22" s="833" t="s">
        <v>629</v>
      </c>
      <c r="U22" s="834" t="s">
        <v>634</v>
      </c>
    </row>
    <row r="23" spans="1:22" ht="15" customHeight="1" thickTop="1">
      <c r="A23" s="879" t="s">
        <v>195</v>
      </c>
      <c r="B23" s="880" t="s">
        <v>289</v>
      </c>
      <c r="C23" s="921">
        <v>25000</v>
      </c>
      <c r="D23" s="881">
        <v>5000</v>
      </c>
      <c r="E23" s="925">
        <v>10</v>
      </c>
      <c r="F23" s="929">
        <v>24000</v>
      </c>
      <c r="G23" s="837">
        <f>($C23-$D23)/$E23</f>
        <v>2000</v>
      </c>
      <c r="H23" s="837"/>
      <c r="I23" s="837"/>
      <c r="J23" s="837">
        <f>($C23+$D23)/2*HOAssumptions!G52</f>
        <v>1050</v>
      </c>
      <c r="K23" s="837">
        <f>($C23+$D23)/2*HOAssumptions!G53</f>
        <v>120</v>
      </c>
      <c r="L23" s="837">
        <f>($C23+$D23)/2*HOAssumptions!G54</f>
        <v>120</v>
      </c>
      <c r="M23" s="837">
        <f>$J23+$K23+$L23</f>
        <v>1290</v>
      </c>
      <c r="N23" s="841">
        <f>(0.3*C23)/E23</f>
        <v>750</v>
      </c>
      <c r="O23" s="842">
        <f>((1/HOAssumptions!E70)*HOAssumptions!B70*F23)+(((1/HOAssumptions!E70)*HOAssumptions!B70*F23)*HOAssumptions!D70)</f>
        <v>5467.2</v>
      </c>
      <c r="P23" s="843">
        <f>SUM($N23:$O23)</f>
        <v>6217.2</v>
      </c>
      <c r="Q23" s="842">
        <f>$M23+$P23</f>
        <v>7507.2</v>
      </c>
      <c r="R23" s="882" t="s">
        <v>195</v>
      </c>
      <c r="S23" s="845">
        <f>(M23)/F23</f>
        <v>5.3749999999999999E-2</v>
      </c>
      <c r="T23" s="845">
        <f t="shared" si="6"/>
        <v>0.25905</v>
      </c>
      <c r="U23" s="883">
        <f t="shared" si="7"/>
        <v>0.31280000000000002</v>
      </c>
      <c r="V23" s="798">
        <f>U23*50</f>
        <v>15.64</v>
      </c>
    </row>
    <row r="24" spans="1:22" ht="15" customHeight="1" thickBot="1">
      <c r="A24" s="884" t="s">
        <v>341</v>
      </c>
      <c r="B24" s="885"/>
      <c r="C24" s="922">
        <v>32000</v>
      </c>
      <c r="D24" s="886">
        <f>C24*0.22407</f>
        <v>7170.24</v>
      </c>
      <c r="E24" s="922">
        <v>10</v>
      </c>
      <c r="F24" s="930">
        <v>16000</v>
      </c>
      <c r="G24" s="887">
        <f>($C24-$D24)/$E24</f>
        <v>2482.9760000000001</v>
      </c>
      <c r="H24" s="887"/>
      <c r="I24" s="887"/>
      <c r="J24" s="887">
        <f>($C24+$D24)/2*HOAssumptions!G52</f>
        <v>1370.9584</v>
      </c>
      <c r="K24" s="887">
        <f>($C24+$D24)/2*HOAssumptions!G53</f>
        <v>156.68096</v>
      </c>
      <c r="L24" s="887">
        <f>($C24+$D24)/2*HOAssumptions!G54</f>
        <v>156.68096</v>
      </c>
      <c r="M24" s="887">
        <f t="shared" si="4"/>
        <v>1684.3203199999998</v>
      </c>
      <c r="N24" s="888">
        <f>(0.2*C24)/E24</f>
        <v>640</v>
      </c>
      <c r="O24" s="889">
        <f>((1/HOAssumptions!E71)*HOAssumptions!B71*F24)+(((1/HOAssumptions!E71)*HOAssumptions!B71*F24)*HOAssumptions!D71)</f>
        <v>6834</v>
      </c>
      <c r="P24" s="890">
        <f t="shared" si="5"/>
        <v>7474</v>
      </c>
      <c r="Q24" s="889">
        <f>$M24+$P24</f>
        <v>9158.3203199999989</v>
      </c>
      <c r="R24" s="891" t="s">
        <v>309</v>
      </c>
      <c r="S24" s="877">
        <f>(M24)/F24</f>
        <v>0.10527001999999999</v>
      </c>
      <c r="T24" s="877">
        <f t="shared" si="6"/>
        <v>0.46712500000000001</v>
      </c>
      <c r="U24" s="892">
        <f t="shared" si="7"/>
        <v>0.57239501999999998</v>
      </c>
    </row>
    <row r="25" spans="1:22" ht="0.75" customHeight="1">
      <c r="A25" s="893"/>
      <c r="B25" s="894"/>
      <c r="C25" s="895"/>
      <c r="D25" s="895"/>
      <c r="E25" s="895"/>
      <c r="F25" s="895"/>
      <c r="G25" s="896"/>
      <c r="H25" s="896"/>
      <c r="I25" s="896"/>
      <c r="J25" s="896"/>
      <c r="K25" s="896"/>
      <c r="L25" s="896"/>
      <c r="M25" s="896"/>
      <c r="N25" s="897"/>
      <c r="O25" s="897"/>
      <c r="P25" s="898"/>
      <c r="Q25" s="897"/>
    </row>
    <row r="26" spans="1:22" ht="0.75" customHeight="1" thickBot="1">
      <c r="A26" s="899"/>
      <c r="B26" s="900"/>
      <c r="C26" s="901"/>
      <c r="D26" s="901"/>
      <c r="E26" s="901"/>
      <c r="F26" s="901"/>
      <c r="G26" s="902"/>
      <c r="H26" s="902"/>
      <c r="I26" s="902"/>
      <c r="J26" s="902"/>
      <c r="K26" s="902"/>
      <c r="L26" s="902"/>
      <c r="M26" s="902"/>
      <c r="N26" s="903"/>
      <c r="O26" s="903"/>
      <c r="P26" s="904"/>
      <c r="Q26" s="903"/>
    </row>
    <row r="27" spans="1:22" ht="14.25" thickTop="1" thickBot="1">
      <c r="A27" s="905" t="s">
        <v>197</v>
      </c>
      <c r="B27" s="906"/>
      <c r="C27" s="907"/>
      <c r="D27" s="908"/>
      <c r="E27" s="908"/>
      <c r="F27" s="908"/>
      <c r="G27" s="909"/>
      <c r="H27" s="909"/>
      <c r="I27" s="909"/>
      <c r="J27" s="909"/>
      <c r="K27" s="909"/>
      <c r="L27" s="909"/>
      <c r="M27" s="909">
        <f>SUM(M4:M19)+M20</f>
        <v>9656.6433184900015</v>
      </c>
      <c r="N27" s="909"/>
      <c r="O27" s="909"/>
      <c r="P27" s="909">
        <f>SUM(P4:P19)+P20+P25</f>
        <v>46467.188333333332</v>
      </c>
      <c r="Q27" s="909">
        <f>SUM(Q4:Q19)+Q20+Q25</f>
        <v>56123.831651823326</v>
      </c>
    </row>
    <row r="28" spans="1:22" ht="64.7" customHeight="1" thickTop="1" thickBot="1">
      <c r="A28" s="910" t="s">
        <v>702</v>
      </c>
      <c r="B28" s="911" t="s">
        <v>643</v>
      </c>
      <c r="C28" s="912"/>
    </row>
    <row r="29" spans="1:22" ht="13.5" thickTop="1">
      <c r="A29" s="913" t="s">
        <v>661</v>
      </c>
      <c r="B29" s="923">
        <v>3.85</v>
      </c>
      <c r="C29" s="764" t="s">
        <v>662</v>
      </c>
    </row>
    <row r="30" spans="1:22">
      <c r="A30" s="914" t="s">
        <v>343</v>
      </c>
      <c r="B30" s="924">
        <v>0.03</v>
      </c>
      <c r="C30" s="915"/>
    </row>
    <row r="31" spans="1:22" s="12" customFormat="1">
      <c r="K31" s="336"/>
    </row>
    <row r="32" spans="1:22" s="12" customFormat="1">
      <c r="K32" s="336"/>
      <c r="L32" s="336"/>
      <c r="M32" s="336"/>
      <c r="N32" s="336"/>
      <c r="O32" s="336"/>
      <c r="P32" s="916"/>
      <c r="Q32" s="916"/>
      <c r="R32" s="916"/>
    </row>
    <row r="33" spans="1:15">
      <c r="K33" s="787"/>
      <c r="L33" s="787"/>
      <c r="M33" s="787"/>
      <c r="N33" s="787"/>
      <c r="O33" s="787"/>
    </row>
    <row r="34" spans="1:15">
      <c r="K34" s="787"/>
      <c r="L34" s="787" t="s">
        <v>7</v>
      </c>
      <c r="M34" s="787"/>
      <c r="N34" s="917"/>
      <c r="O34" s="787"/>
    </row>
    <row r="35" spans="1:15">
      <c r="L35" s="764" t="s">
        <v>7</v>
      </c>
    </row>
    <row r="36" spans="1:15">
      <c r="A36" s="796"/>
      <c r="B36" s="796"/>
      <c r="C36" s="918"/>
      <c r="L36" s="764" t="s">
        <v>7</v>
      </c>
      <c r="M36" s="764" t="s">
        <v>7</v>
      </c>
    </row>
    <row r="37" spans="1:15">
      <c r="A37" s="306"/>
      <c r="B37" s="796"/>
      <c r="C37" s="918"/>
    </row>
    <row r="38" spans="1:15">
      <c r="B38" s="306"/>
    </row>
    <row r="39" spans="1:15">
      <c r="B39" s="796"/>
    </row>
    <row r="40" spans="1:15">
      <c r="A40" s="796"/>
      <c r="B40" s="796"/>
      <c r="C40" s="796"/>
    </row>
    <row r="41" spans="1:15">
      <c r="A41" s="796"/>
      <c r="B41" s="796"/>
      <c r="C41" s="796"/>
      <c r="J41" s="796"/>
    </row>
    <row r="42" spans="1:15">
      <c r="C42" s="796"/>
    </row>
    <row r="43" spans="1:15">
      <c r="C43" s="796"/>
    </row>
    <row r="44" spans="1:15">
      <c r="C44" s="796"/>
    </row>
  </sheetData>
  <sheetProtection password="A5F1" sheet="1" objects="1" scenarios="1"/>
  <mergeCells count="1">
    <mergeCell ref="S2:U2"/>
  </mergeCells>
  <phoneticPr fontId="0" type="noConversion"/>
  <pageMargins left="0.28999999999999998" right="0.21" top="0.53" bottom="0.41" header="0.5" footer="0.4"/>
  <pageSetup orientation="landscape" horizontalDpi="4294967293" verticalDpi="200"/>
  <headerFooter alignWithMargins="0"/>
</worksheet>
</file>

<file path=xl/worksheets/sheet12.xml><?xml version="1.0" encoding="utf-8"?>
<worksheet xmlns="http://schemas.openxmlformats.org/spreadsheetml/2006/main" xmlns:r="http://schemas.openxmlformats.org/officeDocument/2006/relationships">
  <sheetPr codeName="Sheet2" enableFormatConditionsCalculation="0">
    <tabColor theme="3" tint="0.39997558519241921"/>
  </sheetPr>
  <dimension ref="A1:J107"/>
  <sheetViews>
    <sheetView zoomScaleNormal="100" workbookViewId="0">
      <pane ySplit="1275" topLeftCell="A66" activePane="bottomLeft"/>
      <selection activeCell="G57" sqref="G57"/>
      <selection pane="bottomLeft" activeCell="G57" sqref="G57"/>
    </sheetView>
  </sheetViews>
  <sheetFormatPr defaultColWidth="8.85546875" defaultRowHeight="12.75"/>
  <cols>
    <col min="1" max="1" width="51.42578125" style="764" customWidth="1"/>
    <col min="2" max="2" width="9.28515625" style="764" bestFit="1" customWidth="1"/>
    <col min="3" max="5" width="8.85546875" style="764"/>
    <col min="6" max="6" width="10.7109375" style="764" customWidth="1"/>
    <col min="7" max="10" width="9.140625" style="1101" customWidth="1"/>
    <col min="11" max="16384" width="8.85546875" style="764"/>
  </cols>
  <sheetData>
    <row r="1" spans="1:10">
      <c r="A1" s="4" t="s">
        <v>246</v>
      </c>
      <c r="B1" s="7"/>
      <c r="C1" s="931"/>
      <c r="D1" s="8"/>
      <c r="E1" s="8"/>
      <c r="F1" s="8"/>
      <c r="G1" s="14"/>
      <c r="H1" s="14"/>
      <c r="I1" s="14"/>
      <c r="J1" s="932"/>
    </row>
    <row r="2" spans="1:10" ht="13.5" thickBot="1">
      <c r="B2" s="7"/>
      <c r="C2" s="931"/>
      <c r="D2" s="8"/>
      <c r="E2" s="8"/>
      <c r="F2" s="8"/>
      <c r="G2" s="14"/>
      <c r="H2" s="14"/>
      <c r="I2" s="14"/>
      <c r="J2" s="932"/>
    </row>
    <row r="3" spans="1:10" ht="13.5" thickTop="1">
      <c r="A3" s="933" t="s">
        <v>158</v>
      </c>
      <c r="B3" s="934" t="s">
        <v>159</v>
      </c>
      <c r="C3" s="935" t="s">
        <v>160</v>
      </c>
      <c r="D3" s="936" t="s">
        <v>161</v>
      </c>
      <c r="E3" s="936" t="s">
        <v>161</v>
      </c>
      <c r="F3" s="936" t="s">
        <v>302</v>
      </c>
      <c r="G3" s="937" t="s">
        <v>226</v>
      </c>
      <c r="H3" s="937"/>
      <c r="I3" s="937" t="s">
        <v>225</v>
      </c>
      <c r="J3" s="938" t="s">
        <v>225</v>
      </c>
    </row>
    <row r="4" spans="1:10" ht="13.5" thickBot="1">
      <c r="A4" s="939" t="s">
        <v>7</v>
      </c>
      <c r="B4" s="940" t="s">
        <v>162</v>
      </c>
      <c r="C4" s="941" t="s">
        <v>7</v>
      </c>
      <c r="D4" s="942" t="s">
        <v>160</v>
      </c>
      <c r="E4" s="942" t="s">
        <v>162</v>
      </c>
      <c r="F4" s="942" t="s">
        <v>155</v>
      </c>
      <c r="G4" s="943" t="s">
        <v>148</v>
      </c>
      <c r="H4" s="943" t="s">
        <v>156</v>
      </c>
      <c r="I4" s="943" t="s">
        <v>157</v>
      </c>
      <c r="J4" s="944" t="s">
        <v>245</v>
      </c>
    </row>
    <row r="5" spans="1:10" ht="13.5" thickBot="1">
      <c r="A5" s="945"/>
      <c r="B5" s="946"/>
      <c r="C5" s="947"/>
      <c r="D5" s="948"/>
      <c r="E5" s="948"/>
      <c r="F5" s="948"/>
      <c r="G5" s="949"/>
      <c r="H5" s="949"/>
      <c r="I5" s="949"/>
      <c r="J5" s="950"/>
    </row>
    <row r="6" spans="1:10" ht="13.5" thickBot="1">
      <c r="A6" s="951" t="s">
        <v>163</v>
      </c>
      <c r="B6" s="952"/>
      <c r="C6" s="953"/>
      <c r="D6" s="954"/>
      <c r="E6" s="954"/>
      <c r="F6" s="954"/>
      <c r="G6" s="955"/>
      <c r="H6" s="955"/>
      <c r="I6" s="955"/>
      <c r="J6" s="956"/>
    </row>
    <row r="7" spans="1:10" ht="12.75" customHeight="1" thickBot="1">
      <c r="A7" s="957" t="s">
        <v>238</v>
      </c>
      <c r="B7" s="958">
        <v>100</v>
      </c>
      <c r="C7" s="959" t="s">
        <v>310</v>
      </c>
      <c r="D7" s="960">
        <v>1.25</v>
      </c>
      <c r="E7" s="961">
        <v>125</v>
      </c>
      <c r="F7" s="961">
        <f>E7*10</f>
        <v>1250</v>
      </c>
      <c r="G7" s="962"/>
      <c r="H7" s="962">
        <v>1</v>
      </c>
      <c r="I7" s="962"/>
      <c r="J7" s="963"/>
    </row>
    <row r="8" spans="1:10" ht="13.5" thickBot="1">
      <c r="A8" s="964" t="s">
        <v>164</v>
      </c>
      <c r="B8" s="965"/>
      <c r="C8" s="966"/>
      <c r="D8" s="967"/>
      <c r="E8" s="967">
        <f>SUM(E7)</f>
        <v>125</v>
      </c>
      <c r="F8" s="967">
        <f>SUM(F5:F7)</f>
        <v>1250</v>
      </c>
      <c r="G8" s="968"/>
      <c r="H8" s="968"/>
      <c r="I8" s="968"/>
      <c r="J8" s="969"/>
    </row>
    <row r="9" spans="1:10" ht="13.5" thickBot="1">
      <c r="A9" s="951" t="s">
        <v>242</v>
      </c>
      <c r="B9" s="952" t="s">
        <v>7</v>
      </c>
      <c r="C9" s="970" t="s">
        <v>7</v>
      </c>
      <c r="D9" s="954" t="s">
        <v>7</v>
      </c>
      <c r="E9" s="954" t="s">
        <v>7</v>
      </c>
      <c r="F9" s="954"/>
      <c r="G9" s="955"/>
      <c r="H9" s="955"/>
      <c r="I9" s="955"/>
      <c r="J9" s="956"/>
    </row>
    <row r="10" spans="1:10">
      <c r="A10" s="971" t="s">
        <v>320</v>
      </c>
      <c r="B10" s="972">
        <v>0.63</v>
      </c>
      <c r="C10" s="973" t="s">
        <v>60</v>
      </c>
      <c r="D10" s="974">
        <v>1.98</v>
      </c>
      <c r="E10" s="975">
        <f>B10*D10</f>
        <v>1.2474000000000001</v>
      </c>
      <c r="F10" s="975">
        <f t="shared" ref="F10:F16" si="0">E10*10</f>
        <v>12.474</v>
      </c>
      <c r="G10" s="962"/>
      <c r="H10" s="962"/>
      <c r="I10" s="962"/>
      <c r="J10" s="963"/>
    </row>
    <row r="11" spans="1:10">
      <c r="A11" s="976" t="s">
        <v>322</v>
      </c>
      <c r="B11" s="977">
        <v>5.48</v>
      </c>
      <c r="C11" s="978" t="s">
        <v>60</v>
      </c>
      <c r="D11" s="979">
        <v>0.35</v>
      </c>
      <c r="E11" s="980">
        <f>B11*D11</f>
        <v>1.9179999999999999</v>
      </c>
      <c r="F11" s="980">
        <f t="shared" si="0"/>
        <v>19.18</v>
      </c>
      <c r="G11" s="962"/>
      <c r="H11" s="962"/>
      <c r="I11" s="962"/>
      <c r="J11" s="963"/>
    </row>
    <row r="12" spans="1:10">
      <c r="A12" s="976" t="s">
        <v>323</v>
      </c>
      <c r="B12" s="977">
        <v>67.75</v>
      </c>
      <c r="C12" s="978" t="s">
        <v>60</v>
      </c>
      <c r="D12" s="981">
        <v>0.35</v>
      </c>
      <c r="E12" s="982">
        <f>D12*B12</f>
        <v>23.712499999999999</v>
      </c>
      <c r="F12" s="980">
        <f t="shared" si="0"/>
        <v>237.125</v>
      </c>
      <c r="G12" s="983"/>
      <c r="H12" s="983"/>
      <c r="I12" s="983"/>
      <c r="J12" s="963"/>
    </row>
    <row r="13" spans="1:10">
      <c r="A13" s="976" t="s">
        <v>324</v>
      </c>
      <c r="B13" s="977">
        <v>45.16</v>
      </c>
      <c r="C13" s="978" t="s">
        <v>60</v>
      </c>
      <c r="D13" s="981">
        <v>0.35</v>
      </c>
      <c r="E13" s="982">
        <f>D13*B13</f>
        <v>15.805999999999997</v>
      </c>
      <c r="F13" s="980">
        <f t="shared" si="0"/>
        <v>158.05999999999997</v>
      </c>
      <c r="G13" s="983"/>
      <c r="H13" s="983"/>
      <c r="I13" s="983"/>
      <c r="J13" s="963"/>
    </row>
    <row r="14" spans="1:10">
      <c r="A14" s="976" t="s">
        <v>321</v>
      </c>
      <c r="B14" s="977">
        <v>53.85</v>
      </c>
      <c r="C14" s="978" t="s">
        <v>60</v>
      </c>
      <c r="D14" s="981">
        <v>0.4</v>
      </c>
      <c r="E14" s="982">
        <f>D14*B14</f>
        <v>21.540000000000003</v>
      </c>
      <c r="F14" s="980">
        <f t="shared" si="0"/>
        <v>215.40000000000003</v>
      </c>
      <c r="G14" s="983"/>
      <c r="H14" s="983"/>
      <c r="I14" s="983"/>
      <c r="J14" s="963"/>
    </row>
    <row r="15" spans="1:10">
      <c r="A15" s="984" t="s">
        <v>319</v>
      </c>
      <c r="B15" s="977">
        <v>10</v>
      </c>
      <c r="C15" s="978" t="s">
        <v>60</v>
      </c>
      <c r="D15" s="981">
        <v>0.25</v>
      </c>
      <c r="E15" s="982">
        <f>D15*B15</f>
        <v>2.5</v>
      </c>
      <c r="F15" s="980">
        <f t="shared" si="0"/>
        <v>25</v>
      </c>
      <c r="G15" s="983"/>
      <c r="H15" s="983"/>
      <c r="I15" s="983"/>
      <c r="J15" s="963"/>
    </row>
    <row r="16" spans="1:10" ht="13.5" thickBot="1">
      <c r="A16" s="985" t="s">
        <v>390</v>
      </c>
      <c r="B16" s="986"/>
      <c r="C16" s="987" t="s">
        <v>60</v>
      </c>
      <c r="D16" s="988">
        <v>0.22900000000000001</v>
      </c>
      <c r="E16" s="989">
        <f>D16*B16</f>
        <v>0</v>
      </c>
      <c r="F16" s="990">
        <f t="shared" si="0"/>
        <v>0</v>
      </c>
      <c r="G16" s="983"/>
      <c r="H16" s="983"/>
      <c r="I16" s="983"/>
      <c r="J16" s="963"/>
    </row>
    <row r="17" spans="1:10" ht="13.5" thickBot="1">
      <c r="A17" s="964" t="s">
        <v>241</v>
      </c>
      <c r="B17" s="965" t="s">
        <v>7</v>
      </c>
      <c r="C17" s="991" t="s">
        <v>7</v>
      </c>
      <c r="D17" s="967" t="s">
        <v>7</v>
      </c>
      <c r="E17" s="967">
        <f>SUM(E12:E15)</f>
        <v>63.558499999999995</v>
      </c>
      <c r="F17" s="967">
        <f>SUM(F10:F16)</f>
        <v>667.23900000000003</v>
      </c>
      <c r="G17" s="968"/>
      <c r="H17" s="968"/>
      <c r="I17" s="968"/>
      <c r="J17" s="969"/>
    </row>
    <row r="18" spans="1:10" ht="13.5" thickBot="1">
      <c r="A18" s="951" t="s">
        <v>165</v>
      </c>
      <c r="B18" s="952" t="s">
        <v>7</v>
      </c>
      <c r="C18" s="953" t="s">
        <v>7</v>
      </c>
      <c r="D18" s="954" t="s">
        <v>7</v>
      </c>
      <c r="E18" s="954" t="s">
        <v>7</v>
      </c>
      <c r="F18" s="954"/>
      <c r="G18" s="955"/>
      <c r="H18" s="955"/>
      <c r="I18" s="955"/>
      <c r="J18" s="956"/>
    </row>
    <row r="19" spans="1:10">
      <c r="A19" s="992" t="s">
        <v>291</v>
      </c>
      <c r="B19" s="972">
        <v>1.5</v>
      </c>
      <c r="C19" s="973" t="s">
        <v>298</v>
      </c>
      <c r="D19" s="993">
        <v>3.5</v>
      </c>
      <c r="E19" s="994">
        <f>B19*D19</f>
        <v>5.25</v>
      </c>
      <c r="F19" s="975">
        <f>E19*10</f>
        <v>52.5</v>
      </c>
      <c r="G19" s="983"/>
      <c r="H19" s="983"/>
      <c r="I19" s="983"/>
      <c r="J19" s="963"/>
    </row>
    <row r="20" spans="1:10">
      <c r="A20" s="995" t="s">
        <v>290</v>
      </c>
      <c r="B20" s="977">
        <v>2</v>
      </c>
      <c r="C20" s="978" t="s">
        <v>298</v>
      </c>
      <c r="D20" s="981">
        <v>46</v>
      </c>
      <c r="E20" s="982">
        <f>B20*D20</f>
        <v>92</v>
      </c>
      <c r="F20" s="980">
        <f>E20*10</f>
        <v>920</v>
      </c>
      <c r="G20" s="983"/>
      <c r="H20" s="983"/>
      <c r="I20" s="983"/>
      <c r="J20" s="963"/>
    </row>
    <row r="21" spans="1:10" ht="13.5" thickBot="1">
      <c r="A21" s="996" t="s">
        <v>125</v>
      </c>
      <c r="B21" s="986">
        <v>1</v>
      </c>
      <c r="C21" s="987" t="s">
        <v>298</v>
      </c>
      <c r="D21" s="988">
        <v>3.52</v>
      </c>
      <c r="E21" s="989">
        <f>B21*D21</f>
        <v>3.52</v>
      </c>
      <c r="F21" s="990">
        <f>E21*10</f>
        <v>35.200000000000003</v>
      </c>
      <c r="G21" s="983"/>
      <c r="H21" s="983"/>
      <c r="I21" s="983">
        <v>2</v>
      </c>
      <c r="J21" s="963">
        <v>2</v>
      </c>
    </row>
    <row r="22" spans="1:10" ht="13.5" thickBot="1">
      <c r="A22" s="997" t="s">
        <v>166</v>
      </c>
      <c r="B22" s="965" t="s">
        <v>7</v>
      </c>
      <c r="C22" s="966" t="s">
        <v>7</v>
      </c>
      <c r="D22" s="967" t="s">
        <v>7</v>
      </c>
      <c r="E22" s="967">
        <f>SUM(E19:E21)</f>
        <v>100.77</v>
      </c>
      <c r="F22" s="967">
        <f>SUM(F19:F21)</f>
        <v>1007.7</v>
      </c>
      <c r="G22" s="968"/>
      <c r="H22" s="968"/>
      <c r="I22" s="968"/>
      <c r="J22" s="969"/>
    </row>
    <row r="23" spans="1:10" ht="13.5" thickBot="1">
      <c r="A23" s="951" t="s">
        <v>239</v>
      </c>
      <c r="B23" s="952" t="s">
        <v>7</v>
      </c>
      <c r="C23" s="970" t="s">
        <v>7</v>
      </c>
      <c r="D23" s="954" t="s">
        <v>7</v>
      </c>
      <c r="E23" s="954" t="s">
        <v>7</v>
      </c>
      <c r="F23" s="954"/>
      <c r="G23" s="955"/>
      <c r="H23" s="955"/>
      <c r="I23" s="955"/>
      <c r="J23" s="956"/>
    </row>
    <row r="24" spans="1:10">
      <c r="A24" s="998" t="s">
        <v>293</v>
      </c>
      <c r="B24" s="999">
        <v>4</v>
      </c>
      <c r="C24" s="1000" t="s">
        <v>127</v>
      </c>
      <c r="D24" s="1001">
        <v>16</v>
      </c>
      <c r="E24" s="1002">
        <f>B24*D24</f>
        <v>64</v>
      </c>
      <c r="F24" s="975">
        <f>E24*10</f>
        <v>640</v>
      </c>
      <c r="G24" s="1003"/>
      <c r="H24" s="1003"/>
      <c r="I24" s="1003">
        <v>1</v>
      </c>
      <c r="J24" s="1004">
        <v>1</v>
      </c>
    </row>
    <row r="25" spans="1:10">
      <c r="A25" s="1005" t="s">
        <v>299</v>
      </c>
      <c r="B25" s="1006">
        <v>2</v>
      </c>
      <c r="C25" s="1007" t="s">
        <v>60</v>
      </c>
      <c r="D25" s="1008">
        <v>13.98</v>
      </c>
      <c r="E25" s="1009">
        <f>B25*D25</f>
        <v>27.96</v>
      </c>
      <c r="F25" s="980">
        <f>E25*10</f>
        <v>279.60000000000002</v>
      </c>
      <c r="G25" s="1003"/>
      <c r="H25" s="1003"/>
      <c r="I25" s="1003">
        <v>1</v>
      </c>
      <c r="J25" s="1004">
        <v>1</v>
      </c>
    </row>
    <row r="26" spans="1:10" ht="13.5" thickBot="1">
      <c r="A26" s="1010" t="s">
        <v>295</v>
      </c>
      <c r="B26" s="1011">
        <v>6</v>
      </c>
      <c r="C26" s="1012" t="s">
        <v>127</v>
      </c>
      <c r="D26" s="1013">
        <f>319.59/615.415</f>
        <v>0.51930810916211012</v>
      </c>
      <c r="E26" s="1014">
        <f>D26*B26</f>
        <v>3.1158486549726607</v>
      </c>
      <c r="F26" s="990">
        <f>E26*10</f>
        <v>31.158486549726607</v>
      </c>
      <c r="G26" s="1003"/>
      <c r="H26" s="1003"/>
      <c r="I26" s="1003">
        <v>2</v>
      </c>
      <c r="J26" s="1004">
        <v>2</v>
      </c>
    </row>
    <row r="27" spans="1:10" ht="13.5" thickBot="1">
      <c r="A27" s="964" t="s">
        <v>240</v>
      </c>
      <c r="B27" s="965" t="s">
        <v>7</v>
      </c>
      <c r="C27" s="991" t="s">
        <v>7</v>
      </c>
      <c r="D27" s="967" t="s">
        <v>7</v>
      </c>
      <c r="E27" s="967">
        <f>SUM(E25:E26)</f>
        <v>31.07584865497266</v>
      </c>
      <c r="F27" s="967">
        <f>SUM(F24:F26)</f>
        <v>950.75848654972663</v>
      </c>
      <c r="G27" s="968"/>
      <c r="H27" s="968"/>
      <c r="I27" s="968"/>
      <c r="J27" s="969"/>
    </row>
    <row r="28" spans="1:10" ht="13.5" thickBot="1">
      <c r="A28" s="951" t="s">
        <v>167</v>
      </c>
      <c r="B28" s="952"/>
      <c r="C28" s="953"/>
      <c r="D28" s="1015"/>
      <c r="E28" s="1015"/>
      <c r="F28" s="1015"/>
      <c r="G28" s="1016"/>
      <c r="H28" s="1016"/>
      <c r="I28" s="1016"/>
      <c r="J28" s="956"/>
    </row>
    <row r="29" spans="1:10" ht="13.5" thickBot="1">
      <c r="A29" s="1017" t="s">
        <v>134</v>
      </c>
      <c r="B29" s="1018">
        <v>2</v>
      </c>
      <c r="C29" s="959" t="s">
        <v>210</v>
      </c>
      <c r="D29" s="1019">
        <v>3</v>
      </c>
      <c r="E29" s="1020">
        <f>B29*D29</f>
        <v>6</v>
      </c>
      <c r="F29" s="1020"/>
      <c r="G29" s="983"/>
      <c r="H29" s="983"/>
      <c r="I29" s="983">
        <v>1</v>
      </c>
      <c r="J29" s="963">
        <v>1</v>
      </c>
    </row>
    <row r="30" spans="1:10" ht="13.5" thickBot="1">
      <c r="A30" s="964" t="s">
        <v>168</v>
      </c>
      <c r="B30" s="965"/>
      <c r="C30" s="966"/>
      <c r="D30" s="1021"/>
      <c r="E30" s="1021">
        <f>SUM(E29)</f>
        <v>6</v>
      </c>
      <c r="F30" s="1021"/>
      <c r="G30" s="1022"/>
      <c r="H30" s="1022"/>
      <c r="I30" s="1022"/>
      <c r="J30" s="969"/>
    </row>
    <row r="31" spans="1:10" ht="13.5" thickBot="1">
      <c r="A31" s="951" t="s">
        <v>169</v>
      </c>
      <c r="B31" s="952" t="s">
        <v>7</v>
      </c>
      <c r="C31" s="970" t="s">
        <v>7</v>
      </c>
      <c r="D31" s="954" t="s">
        <v>7</v>
      </c>
      <c r="E31" s="954" t="s">
        <v>7</v>
      </c>
      <c r="F31" s="954"/>
      <c r="G31" s="955"/>
      <c r="H31" s="955"/>
      <c r="I31" s="955"/>
      <c r="J31" s="956"/>
    </row>
    <row r="32" spans="1:10">
      <c r="A32" s="1023" t="s">
        <v>141</v>
      </c>
      <c r="B32" s="1024">
        <v>0</v>
      </c>
      <c r="C32" s="1000" t="s">
        <v>60</v>
      </c>
      <c r="D32" s="1025">
        <v>25</v>
      </c>
      <c r="E32" s="975">
        <f>B32*D32</f>
        <v>0</v>
      </c>
      <c r="F32" s="975">
        <f t="shared" ref="F32:F40" si="1">E32*10</f>
        <v>0</v>
      </c>
      <c r="G32" s="962"/>
      <c r="H32" s="962"/>
      <c r="I32" s="962">
        <f>B32</f>
        <v>0</v>
      </c>
      <c r="J32" s="1026">
        <f>B32</f>
        <v>0</v>
      </c>
    </row>
    <row r="33" spans="1:10">
      <c r="A33" s="995" t="s">
        <v>296</v>
      </c>
      <c r="B33" s="1027">
        <v>4</v>
      </c>
      <c r="C33" s="978" t="s">
        <v>170</v>
      </c>
      <c r="D33" s="979">
        <v>4</v>
      </c>
      <c r="E33" s="982">
        <f>B33*D33</f>
        <v>16</v>
      </c>
      <c r="F33" s="980">
        <f t="shared" si="1"/>
        <v>160</v>
      </c>
      <c r="G33" s="983"/>
      <c r="H33" s="983">
        <v>1</v>
      </c>
      <c r="I33" s="962">
        <f t="shared" ref="I33:I40" si="2">B33</f>
        <v>4</v>
      </c>
      <c r="J33" s="1026">
        <f t="shared" ref="J33:J40" si="3">B33</f>
        <v>4</v>
      </c>
    </row>
    <row r="34" spans="1:10">
      <c r="A34" s="1028" t="s">
        <v>132</v>
      </c>
      <c r="B34" s="1029">
        <v>0</v>
      </c>
      <c r="C34" s="1007" t="s">
        <v>60</v>
      </c>
      <c r="D34" s="1030">
        <v>26</v>
      </c>
      <c r="E34" s="1031">
        <f t="shared" ref="E34:E39" si="4">D34*B34</f>
        <v>0</v>
      </c>
      <c r="F34" s="980">
        <f t="shared" si="1"/>
        <v>0</v>
      </c>
      <c r="G34" s="1003"/>
      <c r="H34" s="1003"/>
      <c r="I34" s="962">
        <f t="shared" si="2"/>
        <v>0</v>
      </c>
      <c r="J34" s="1026">
        <f t="shared" si="3"/>
        <v>0</v>
      </c>
    </row>
    <row r="35" spans="1:10">
      <c r="A35" s="1028" t="s">
        <v>294</v>
      </c>
      <c r="B35" s="1029">
        <v>20</v>
      </c>
      <c r="C35" s="1007" t="s">
        <v>127</v>
      </c>
      <c r="D35" s="1030">
        <v>3.5</v>
      </c>
      <c r="E35" s="1031">
        <f t="shared" si="4"/>
        <v>70</v>
      </c>
      <c r="F35" s="980">
        <f t="shared" si="1"/>
        <v>700</v>
      </c>
      <c r="G35" s="1003"/>
      <c r="H35" s="1003"/>
      <c r="I35" s="962">
        <f t="shared" si="2"/>
        <v>20</v>
      </c>
      <c r="J35" s="1026">
        <f t="shared" si="3"/>
        <v>20</v>
      </c>
    </row>
    <row r="36" spans="1:10">
      <c r="A36" s="1028" t="s">
        <v>133</v>
      </c>
      <c r="B36" s="1029">
        <v>1.5</v>
      </c>
      <c r="C36" s="1007" t="s">
        <v>60</v>
      </c>
      <c r="D36" s="1030">
        <v>40</v>
      </c>
      <c r="E36" s="1031">
        <f t="shared" si="4"/>
        <v>60</v>
      </c>
      <c r="F36" s="980">
        <f t="shared" si="1"/>
        <v>600</v>
      </c>
      <c r="G36" s="1003"/>
      <c r="H36" s="1003"/>
      <c r="I36" s="962">
        <f t="shared" si="2"/>
        <v>1.5</v>
      </c>
      <c r="J36" s="1026">
        <f t="shared" si="3"/>
        <v>1.5</v>
      </c>
    </row>
    <row r="37" spans="1:10">
      <c r="A37" s="1028" t="s">
        <v>292</v>
      </c>
      <c r="B37" s="1029">
        <v>2</v>
      </c>
      <c r="C37" s="1007" t="s">
        <v>60</v>
      </c>
      <c r="D37" s="1030">
        <v>10</v>
      </c>
      <c r="E37" s="1031">
        <f t="shared" si="4"/>
        <v>20</v>
      </c>
      <c r="F37" s="980">
        <f t="shared" si="1"/>
        <v>200</v>
      </c>
      <c r="G37" s="1003"/>
      <c r="H37" s="1003"/>
      <c r="I37" s="962">
        <f t="shared" si="2"/>
        <v>2</v>
      </c>
      <c r="J37" s="1026">
        <f t="shared" si="3"/>
        <v>2</v>
      </c>
    </row>
    <row r="38" spans="1:10">
      <c r="A38" s="1028" t="s">
        <v>137</v>
      </c>
      <c r="B38" s="1029">
        <v>2.5</v>
      </c>
      <c r="C38" s="1007" t="s">
        <v>127</v>
      </c>
      <c r="D38" s="1030">
        <v>6</v>
      </c>
      <c r="E38" s="1031">
        <f t="shared" si="4"/>
        <v>15</v>
      </c>
      <c r="F38" s="980">
        <f t="shared" si="1"/>
        <v>150</v>
      </c>
      <c r="G38" s="1003"/>
      <c r="H38" s="1003"/>
      <c r="I38" s="962">
        <f t="shared" si="2"/>
        <v>2.5</v>
      </c>
      <c r="J38" s="1026">
        <f t="shared" si="3"/>
        <v>2.5</v>
      </c>
    </row>
    <row r="39" spans="1:10">
      <c r="A39" s="1028" t="s">
        <v>131</v>
      </c>
      <c r="B39" s="1029">
        <v>0</v>
      </c>
      <c r="C39" s="1007" t="s">
        <v>60</v>
      </c>
      <c r="D39" s="1030">
        <v>5</v>
      </c>
      <c r="E39" s="1031">
        <f t="shared" si="4"/>
        <v>0</v>
      </c>
      <c r="F39" s="980">
        <f t="shared" si="1"/>
        <v>0</v>
      </c>
      <c r="G39" s="1003"/>
      <c r="H39" s="1003"/>
      <c r="I39" s="962">
        <f t="shared" si="2"/>
        <v>0</v>
      </c>
      <c r="J39" s="1026">
        <f t="shared" si="3"/>
        <v>0</v>
      </c>
    </row>
    <row r="40" spans="1:10" ht="13.5" thickBot="1">
      <c r="A40" s="996" t="s">
        <v>297</v>
      </c>
      <c r="B40" s="1011">
        <v>0</v>
      </c>
      <c r="C40" s="1012" t="s">
        <v>123</v>
      </c>
      <c r="D40" s="1013">
        <v>10</v>
      </c>
      <c r="E40" s="1014">
        <f>B40*D40</f>
        <v>0</v>
      </c>
      <c r="F40" s="990">
        <f t="shared" si="1"/>
        <v>0</v>
      </c>
      <c r="G40" s="1003"/>
      <c r="H40" s="1003"/>
      <c r="I40" s="962">
        <f t="shared" si="2"/>
        <v>0</v>
      </c>
      <c r="J40" s="1026">
        <f t="shared" si="3"/>
        <v>0</v>
      </c>
    </row>
    <row r="41" spans="1:10" ht="13.5" thickBot="1">
      <c r="A41" s="964" t="s">
        <v>171</v>
      </c>
      <c r="B41" s="965" t="s">
        <v>7</v>
      </c>
      <c r="C41" s="991" t="s">
        <v>7</v>
      </c>
      <c r="D41" s="967" t="s">
        <v>7</v>
      </c>
      <c r="E41" s="967">
        <f>SUM(E32:E40)</f>
        <v>181</v>
      </c>
      <c r="F41" s="967">
        <f>SUM(F32:F40)</f>
        <v>1810</v>
      </c>
      <c r="G41" s="968"/>
      <c r="H41" s="968"/>
      <c r="I41" s="968"/>
      <c r="J41" s="969"/>
    </row>
    <row r="42" spans="1:10" ht="13.5" thickBot="1">
      <c r="A42" s="1032" t="str">
        <f>IF(HOAssumptions!$G$57=1,'Trellis Materials '!A6:E6,IF(HOAssumptions!$G$58=1,'Trellis Materials '!A13:E13,IF(HOAssumptions!$G$59=1,'Trellis Materials '!A23:E23,IF(HOAssumptions!$G$60=1,'Trellis Materials '!A29:E29,0))))</f>
        <v>Shift Trellis</v>
      </c>
      <c r="B42" s="1033"/>
      <c r="C42" s="1034"/>
      <c r="D42" s="1035"/>
      <c r="E42" s="1035"/>
      <c r="F42" s="1035"/>
      <c r="G42" s="1036"/>
      <c r="H42" s="1037"/>
      <c r="I42" s="1037"/>
      <c r="J42" s="1038"/>
    </row>
    <row r="43" spans="1:10">
      <c r="A43" s="1039" t="str">
        <f>IF(HOAssumptions!$G$57=1,'Trellis Materials '!A7:E7,IF(HOAssumptions!$G$58=1,'Trellis Materials '!A14:E14,IF(HOAssumptions!$G$59=1,'Trellis Materials '!A24:E24,IF(HOAssumptions!$G$60=1,'Trellis Materials '!A30:E30,""))))</f>
        <v>Tie-back post; wooden, round, 6" x 8', CCA pressure-treated</v>
      </c>
      <c r="B43" s="1039">
        <f>IF(HOAssumptions!$G$57=1,'Trellis Materials '!B7:F7,IF(HOAssumptions!$G$58=1,'Trellis Materials '!B14:F14,IF(HOAssumptions!$G$59=1,'Trellis Materials '!B24:F24,IF(HOAssumptions!$G$60=1,'Trellis Materials '!B30:F30,0))))</f>
        <v>40</v>
      </c>
      <c r="C43" s="1040" t="str">
        <f>IF(HOAssumptions!$G$57=1,'Trellis Materials '!C7:G7,IF(HOAssumptions!$G$58=1,'Trellis Materials '!C14:G14,IF(HOAssumptions!$G$59=1,'Trellis Materials '!C24:G24,IF(HOAssumptions!$G$60=1,'Trellis Materials '!C30:G30,0))))</f>
        <v>ea</v>
      </c>
      <c r="D43" s="1041">
        <f>IF(HOAssumptions!$G$57=1,'Trellis Materials '!D7:H7,IF(HOAssumptions!$G$58=1,'Trellis Materials '!D14:H14,IF(HOAssumptions!$G$59=1,'Trellis Materials '!D24:H24,IF(HOAssumptions!$G$60=1,'Trellis Materials '!D30:H30,0))))</f>
        <v>7.46</v>
      </c>
      <c r="E43" s="1041">
        <f>IF(HOAssumptions!$G$57=1,'Trellis Materials '!E7:I7,IF(HOAssumptions!$G$58=1,'Trellis Materials '!E14:I14,IF(HOAssumptions!$G$59=1,'Trellis Materials '!E24:I24,IF(HOAssumptions!$G$60=1,'Trellis Materials '!E30:I30,0))))</f>
        <v>298.39999999999998</v>
      </c>
      <c r="F43" s="1042">
        <f>IF(E43="","",E43*10)</f>
        <v>2984</v>
      </c>
      <c r="G43" s="1043">
        <f>IF(F43="","",1)</f>
        <v>1</v>
      </c>
      <c r="H43" s="962"/>
      <c r="I43" s="962"/>
      <c r="J43" s="963"/>
    </row>
    <row r="44" spans="1:10">
      <c r="A44" s="1044" t="str">
        <f>IF(HOAssumptions!$G$57=1,'Trellis Materials '!A8:E8,IF(HOAssumptions!$G$58=1,'Trellis Materials '!A15:E15,IF(HOAssumptions!$G$59=1,'Trellis Materials '!A25:E25,IF(HOAssumptions!$G$60=1,'Trellis Materials '!A31:E31,""))))</f>
        <v>Vertical post; wooden, round, 4" x 8', CCA pressure-treated</v>
      </c>
      <c r="B44" s="1044">
        <f>IF(HOAssumptions!$G$57=1,'Trellis Materials '!B8:F8,IF(HOAssumptions!$G$58=1,'Trellis Materials '!B15:F15,IF(HOAssumptions!$G$59=1,'Trellis Materials '!B25:F25,IF(HOAssumptions!$G$60=1,'Trellis Materials '!B31:F31,0))))</f>
        <v>140</v>
      </c>
      <c r="C44" s="1045" t="str">
        <f>IF(HOAssumptions!$G$57=1,'Trellis Materials '!C8:G8,IF(HOAssumptions!$G$58=1,'Trellis Materials '!C15:G15,IF(HOAssumptions!$G$59=1,'Trellis Materials '!C25:G25,IF(HOAssumptions!$G$60=1,'Trellis Materials '!C31:G31,0))))</f>
        <v>ea</v>
      </c>
      <c r="D44" s="1046">
        <f>IF(HOAssumptions!$G$57=1,'Trellis Materials '!D8:H8,IF(HOAssumptions!$G$58=1,'Trellis Materials '!D15:H15,IF(HOAssumptions!$G$59=1,'Trellis Materials '!D25:H25,IF(HOAssumptions!$G$60=1,'Trellis Materials '!D31:H31,0))))</f>
        <v>7.25</v>
      </c>
      <c r="E44" s="1046">
        <f>IF(HOAssumptions!$G$57=1,'Trellis Materials '!E8:I8,IF(HOAssumptions!$G$58=1,'Trellis Materials '!E15:I15,IF(HOAssumptions!$G$59=1,'Trellis Materials '!E25:I25,IF(HOAssumptions!$G$60=1,'Trellis Materials '!E31:I31,0))))</f>
        <v>1015</v>
      </c>
      <c r="F44" s="1047">
        <f>IF(E44="","",E44*10)</f>
        <v>10150</v>
      </c>
      <c r="G44" s="1043">
        <f t="shared" ref="G44:G58" si="5">IF(F44="","",1)</f>
        <v>1</v>
      </c>
      <c r="H44" s="962"/>
      <c r="I44" s="962"/>
      <c r="J44" s="963"/>
    </row>
    <row r="45" spans="1:10">
      <c r="A45" s="1044" t="str">
        <f>IF(HOAssumptions!$G$57=1,'Trellis Materials '!A9:E9,IF(HOAssumptions!$G$58=1,'Trellis Materials '!A16:E16,IF(HOAssumptions!$G$59=1,'Trellis Materials '!A26:E26,IF(HOAssumptions!$G$60=1,'Trellis Materials '!A32:E32,""))))</f>
        <v>Crossarms; wooden, round, 3" x 7.5', CCA pressure treated</v>
      </c>
      <c r="B45" s="1044">
        <f>IF(HOAssumptions!$G$57=1,'Trellis Materials '!B9:F9,IF(HOAssumptions!$G$58=1,'Trellis Materials '!B16:F16,IF(HOAssumptions!$G$59=1,'Trellis Materials '!B26:F26,IF(HOAssumptions!$G$60=1,'Trellis Materials '!B32:F32,0))))</f>
        <v>140</v>
      </c>
      <c r="C45" s="1045" t="str">
        <f>IF(HOAssumptions!$G$57=1,'Trellis Materials '!C9:G9,IF(HOAssumptions!$G$58=1,'Trellis Materials '!C16:G16,IF(HOAssumptions!$G$59=1,'Trellis Materials '!C26:G26,IF(HOAssumptions!$G$60=1,'Trellis Materials '!C32:G32,0))))</f>
        <v>ea</v>
      </c>
      <c r="D45" s="1046">
        <f>IF(HOAssumptions!$G$57=1,'Trellis Materials '!D9:H9,IF(HOAssumptions!$G$58=1,'Trellis Materials '!D16:H16,IF(HOAssumptions!$G$59=1,'Trellis Materials '!D26:H26,IF(HOAssumptions!$G$60=1,'Trellis Materials '!D32:H32,0))))</f>
        <v>7</v>
      </c>
      <c r="E45" s="1046">
        <f>IF(HOAssumptions!$G$57=1,'Trellis Materials '!E9:I9,IF(HOAssumptions!$G$58=1,'Trellis Materials '!E16:I16,IF(HOAssumptions!$G$59=1,'Trellis Materials '!E26:I26,IF(HOAssumptions!$G$60=1,'Trellis Materials '!E32:I32,0))))</f>
        <v>980</v>
      </c>
      <c r="F45" s="1047">
        <f t="shared" ref="F45:F58" si="6">IF(E45="","",E45*10)</f>
        <v>9800</v>
      </c>
      <c r="G45" s="1043">
        <f t="shared" si="5"/>
        <v>1</v>
      </c>
      <c r="H45" s="962"/>
      <c r="I45" s="962"/>
      <c r="J45" s="963"/>
    </row>
    <row r="46" spans="1:10">
      <c r="A46" s="1044" t="str">
        <f>IF(HOAssumptions!$G$57=1,'Trellis Materials '!A10:E10,IF(HOAssumptions!$G$58=1,'Trellis Materials '!A17:E17,IF(HOAssumptions!$G$60=1,'Trellis Materials '!A33:E33,"")))</f>
        <v>Bolt, 1/2" x 9" (or 10") shaft, 3" threaded length, zinc-coated</v>
      </c>
      <c r="B46" s="1044">
        <f>IF(HOAssumptions!$G$57=1,'Trellis Materials '!B10:F10,IF(HOAssumptions!$G$58=1,'Trellis Materials '!B17:F17,IF(HOAssumptions!$G$60=1,'Trellis Materials '!B33:F33,"")))</f>
        <v>140</v>
      </c>
      <c r="C46" s="1045" t="str">
        <f>IF(HOAssumptions!$G$57=1,'Trellis Materials '!C10:G10,IF(HOAssumptions!$G$58=1,'Trellis Materials '!C17:G17,IF(HOAssumptions!$G$60=1,'Trellis Materials '!C33:G33,"")))</f>
        <v>ea</v>
      </c>
      <c r="D46" s="1046">
        <f>IF(HOAssumptions!$G$57=1,'Trellis Materials '!D10:H10,IF(HOAssumptions!$G$58=1,'Trellis Materials '!D17:H17,IF(HOAssumptions!$G$60=1,'Trellis Materials '!D33:H33,"")))</f>
        <v>0.16</v>
      </c>
      <c r="E46" s="1046">
        <f>IF(HOAssumptions!$G$57=1,'Trellis Materials '!E10:I10,IF(HOAssumptions!$G$58=1,'Trellis Materials '!E17:I17,IF(HOAssumptions!$G$60=1,'Trellis Materials '!E33:I33,"")))</f>
        <v>22.400000000000002</v>
      </c>
      <c r="F46" s="1047">
        <f t="shared" si="6"/>
        <v>224.00000000000003</v>
      </c>
      <c r="G46" s="1043">
        <f t="shared" si="5"/>
        <v>1</v>
      </c>
      <c r="H46" s="962"/>
      <c r="I46" s="962"/>
      <c r="J46" s="963"/>
    </row>
    <row r="47" spans="1:10">
      <c r="A47" s="1044" t="str">
        <f>IF(HOAssumptions!$G$58=1,'Trellis Materials '!A18:E18,IF(HOAssumptions!$G$60=1,'Trellis Materials '!A34:E34,""))</f>
        <v>Eyebolt, 1/2" x 7" shaft, 3" thread length; zinc-coated</v>
      </c>
      <c r="B47" s="1044">
        <f>IF(HOAssumptions!$G$58=1,'Trellis Materials '!B18:F18,IF(HOAssumptions!$G$60=1,'Trellis Materials '!B34:F34,""))</f>
        <v>40</v>
      </c>
      <c r="C47" s="1045" t="str">
        <f>IF(HOAssumptions!$G$58=1,'Trellis Materials '!C18:G18,IF(HOAssumptions!$G$60=1,'Trellis Materials '!C34:G34,""))</f>
        <v>ea</v>
      </c>
      <c r="D47" s="1046">
        <f>IF(HOAssumptions!$G$58=1,'Trellis Materials '!D18:H18,IF(HOAssumptions!$G$60=1,'Trellis Materials '!D34:H34,""))</f>
        <v>0.3</v>
      </c>
      <c r="E47" s="1046">
        <f>IF(HOAssumptions!$G$58=1,'Trellis Materials '!E18:I18,IF(HOAssumptions!$G$60=1,'Trellis Materials '!E34:I34,""))</f>
        <v>12</v>
      </c>
      <c r="F47" s="1047">
        <f t="shared" si="6"/>
        <v>120</v>
      </c>
      <c r="G47" s="1043">
        <f t="shared" si="5"/>
        <v>1</v>
      </c>
      <c r="H47" s="962"/>
      <c r="I47" s="962"/>
      <c r="J47" s="963"/>
    </row>
    <row r="48" spans="1:10">
      <c r="A48" s="1044" t="str">
        <f>IF(HOAssumptions!$G$58=1,'Trellis Materials '!A19:E19,IF(HOAssumptions!$G$60=1,'Trellis Materials '!A35:E35,""))</f>
        <v>Eyebolt, 1/2" x 4" shaft, 3" thread length, zinc-coated</v>
      </c>
      <c r="B48" s="1044">
        <f>IF(HOAssumptions!$G$58=1,'Trellis Materials '!B19:F19,IF(HOAssumptions!$G$60=1,'Trellis Materials '!B35:F35,""))</f>
        <v>40</v>
      </c>
      <c r="C48" s="1045" t="str">
        <f>IF(HOAssumptions!$G$58=1,'Trellis Materials '!C19:G19,IF(HOAssumptions!$G$60=1,'Trellis Materials '!C35:G35,""))</f>
        <v>ea</v>
      </c>
      <c r="D48" s="1046">
        <f>IF(HOAssumptions!$G$58=1,'Trellis Materials '!D19:H19,IF(HOAssumptions!$G$60=1,'Trellis Materials '!D35:H35,""))</f>
        <v>0.19359999999999999</v>
      </c>
      <c r="E48" s="1046">
        <f>IF(HOAssumptions!$G$58=1,'Trellis Materials '!E19:I19,IF(HOAssumptions!$G$60=1,'Trellis Materials '!E35:I35,""))</f>
        <v>7.7439999999999998</v>
      </c>
      <c r="F48" s="1047">
        <f t="shared" si="6"/>
        <v>77.44</v>
      </c>
      <c r="G48" s="1043">
        <f t="shared" si="5"/>
        <v>1</v>
      </c>
      <c r="H48" s="962"/>
      <c r="I48" s="962"/>
      <c r="J48" s="963"/>
    </row>
    <row r="49" spans="1:10">
      <c r="A49" s="1044" t="str">
        <f>IF(HOAssumptions!$G$60=1,'Trellis Materials '!A36:E36,"")</f>
        <v>Nut, 1/2" diameter, zinc-coated</v>
      </c>
      <c r="B49" s="1044">
        <f>IF(HOAssumptions!$G$60=1,'Trellis Materials '!B36:F36,"")</f>
        <v>220</v>
      </c>
      <c r="C49" s="1045" t="str">
        <f>IF(HOAssumptions!$G$60=1,'Trellis Materials '!C36:G36,"")</f>
        <v>ea</v>
      </c>
      <c r="D49" s="1046">
        <f>IF(HOAssumptions!$G$60=1,'Trellis Materials '!D36:H36,"")</f>
        <v>6.9699999999999998E-2</v>
      </c>
      <c r="E49" s="1046">
        <f>IF(HOAssumptions!$G$60=1,'Trellis Materials '!E36:I36,"")</f>
        <v>15.334</v>
      </c>
      <c r="F49" s="1047">
        <f t="shared" si="6"/>
        <v>153.34</v>
      </c>
      <c r="G49" s="1043">
        <f t="shared" si="5"/>
        <v>1</v>
      </c>
      <c r="H49" s="962"/>
      <c r="I49" s="962"/>
      <c r="J49" s="963"/>
    </row>
    <row r="50" spans="1:10">
      <c r="A50" s="1044" t="str">
        <f>IF(HOAssumptions!$G$60=1,'Trellis Materials '!A37:E37,"")</f>
        <v>Flat-washer, 1/2" diameter, zinc-coated</v>
      </c>
      <c r="B50" s="1044">
        <f>IF(HOAssumptions!$G$60=1,'Trellis Materials '!B37:F37,"")</f>
        <v>1080</v>
      </c>
      <c r="C50" s="1045" t="str">
        <f>IF(HOAssumptions!$G$60=1,'Trellis Materials '!C37:G37,"")</f>
        <v>ea</v>
      </c>
      <c r="D50" s="1046">
        <f>IF(HOAssumptions!$G$60=1,'Trellis Materials '!D37:H37,"")</f>
        <v>0.05</v>
      </c>
      <c r="E50" s="1046">
        <f>IF(HOAssumptions!$G$60=1,'Trellis Materials '!E37:I37,"")</f>
        <v>54</v>
      </c>
      <c r="F50" s="1047">
        <f t="shared" si="6"/>
        <v>540</v>
      </c>
      <c r="G50" s="1043">
        <f t="shared" si="5"/>
        <v>1</v>
      </c>
      <c r="H50" s="962"/>
      <c r="I50" s="962"/>
      <c r="J50" s="963"/>
    </row>
    <row r="51" spans="1:10">
      <c r="A51" s="1044" t="str">
        <f>IF(HOAssumptions!$G$60=1,'Trellis Materials '!A38:E38,"")</f>
        <v>Lag bolt, 3 1/2" x 1/2", 2 1/2" thread length, zinc-coated</v>
      </c>
      <c r="B51" s="1044">
        <f>IF(HOAssumptions!$G$60=1,'Trellis Materials '!B38:F38,"")</f>
        <v>280</v>
      </c>
      <c r="C51" s="1045" t="str">
        <f>IF(HOAssumptions!$G$60=1,'Trellis Materials '!C38:G38,"")</f>
        <v>ea</v>
      </c>
      <c r="D51" s="1046">
        <f>IF(HOAssumptions!$G$60=1,'Trellis Materials '!D38:H38,"")</f>
        <v>0.246</v>
      </c>
      <c r="E51" s="1046">
        <f>IF(HOAssumptions!$G$60=1,'Trellis Materials '!E38:I38,"")</f>
        <v>68.88</v>
      </c>
      <c r="F51" s="1047">
        <f t="shared" si="6"/>
        <v>688.8</v>
      </c>
      <c r="G51" s="1043">
        <f t="shared" si="5"/>
        <v>1</v>
      </c>
      <c r="H51" s="962"/>
      <c r="I51" s="962"/>
      <c r="J51" s="963"/>
    </row>
    <row r="52" spans="1:10">
      <c r="A52" s="1044" t="str">
        <f>IF(HOAssumptions!$G$60=1,'Trellis Materials '!A39:E39,"")</f>
        <v>Screw eye, size 0, zinc coated</v>
      </c>
      <c r="B52" s="1044">
        <f>IF(HOAssumptions!$G$60=1,'Trellis Materials '!B39:F39,"")</f>
        <v>280</v>
      </c>
      <c r="C52" s="1045" t="str">
        <f>IF(HOAssumptions!$G$60=1,'Trellis Materials '!C39:G39,"")</f>
        <v>ea</v>
      </c>
      <c r="D52" s="1046">
        <f>IF(HOAssumptions!$G$60=1,'Trellis Materials '!D39:H39,"")</f>
        <v>4.2900000000000001E-2</v>
      </c>
      <c r="E52" s="1046">
        <f>IF(HOAssumptions!$G$60=1,'Trellis Materials '!E39:I39,"")</f>
        <v>12.012</v>
      </c>
      <c r="F52" s="1047">
        <f t="shared" si="6"/>
        <v>120.12</v>
      </c>
      <c r="G52" s="1043">
        <f>IF(F52="","",1)</f>
        <v>1</v>
      </c>
      <c r="H52" s="962"/>
      <c r="I52" s="962"/>
      <c r="J52" s="963"/>
    </row>
    <row r="53" spans="1:10">
      <c r="A53" s="1044" t="str">
        <f>IF(HOAssumptions!$G$60=1,'Trellis Materials '!A40:E40,"")</f>
        <v>Aircraft cable, 1/8"diameter, 7x19 style, galvanized or stainless steel</v>
      </c>
      <c r="B53" s="1044">
        <f>IF(HOAssumptions!$G$60=1,'Trellis Materials '!B40:F40,"")</f>
        <v>840</v>
      </c>
      <c r="C53" s="1045" t="str">
        <f>IF(HOAssumptions!$G$60=1,'Trellis Materials '!C40:G40,"")</f>
        <v>ft</v>
      </c>
      <c r="D53" s="1046">
        <f>IF(HOAssumptions!$G$60=1,'Trellis Materials '!D40:H40,"")</f>
        <v>0.10949999999999999</v>
      </c>
      <c r="E53" s="1046">
        <f>IF(HOAssumptions!$G$60=1,'Trellis Materials '!E40:I40,"")</f>
        <v>91.97999999999999</v>
      </c>
      <c r="F53" s="1047">
        <f t="shared" si="6"/>
        <v>919.8</v>
      </c>
      <c r="G53" s="1043">
        <f t="shared" si="5"/>
        <v>1</v>
      </c>
      <c r="H53" s="962"/>
      <c r="I53" s="962"/>
      <c r="J53" s="963"/>
    </row>
    <row r="54" spans="1:10">
      <c r="A54" s="1044" t="str">
        <f>IF(HOAssumptions!$G$60=1,'Trellis Materials '!A41:E41,"")</f>
        <v>Nicopress crimping sleeve for 1/8" aircraft cable (or cable clamps)</v>
      </c>
      <c r="B54" s="1044">
        <f>IF(HOAssumptions!$G$60=1,'Trellis Materials '!B41:F41,"")</f>
        <v>420</v>
      </c>
      <c r="C54" s="1045" t="str">
        <f>IF(HOAssumptions!$G$60=1,'Trellis Materials '!C41:G41,"")</f>
        <v>ea</v>
      </c>
      <c r="D54" s="1046">
        <f>IF(HOAssumptions!$G$60=1,'Trellis Materials '!D41:H41,"")</f>
        <v>0.17</v>
      </c>
      <c r="E54" s="1046">
        <f>IF(HOAssumptions!$G$60=1,'Trellis Materials '!E41:I41,"")</f>
        <v>71.400000000000006</v>
      </c>
      <c r="F54" s="1047">
        <f t="shared" si="6"/>
        <v>714</v>
      </c>
      <c r="G54" s="1043">
        <f t="shared" si="5"/>
        <v>1</v>
      </c>
      <c r="H54" s="962"/>
      <c r="I54" s="962"/>
      <c r="J54" s="963"/>
    </row>
    <row r="55" spans="1:10">
      <c r="A55" s="1044" t="str">
        <f>IF(HOAssumptions!$G$60=1,'Trellis Materials '!A42:E42,"")</f>
        <v>Fence-wire crimping sleeve (Nicopress, No. FW-2-3)</v>
      </c>
      <c r="B55" s="1044">
        <f>IF(HOAssumptions!$G$60=1,'Trellis Materials '!B42:F42,"")</f>
        <v>600</v>
      </c>
      <c r="C55" s="1045" t="str">
        <f>IF(HOAssumptions!$G$60=1,'Trellis Materials '!C42:G42,"")</f>
        <v>ea</v>
      </c>
      <c r="D55" s="1046">
        <f>IF(HOAssumptions!$G$60=1,'Trellis Materials '!D42:H42,"")</f>
        <v>0.14649999999999999</v>
      </c>
      <c r="E55" s="1046">
        <f>IF(HOAssumptions!$G$60=1,'Trellis Materials '!E42:I42,"")</f>
        <v>87.899999999999991</v>
      </c>
      <c r="F55" s="1047">
        <f t="shared" si="6"/>
        <v>878.99999999999989</v>
      </c>
      <c r="G55" s="1043">
        <f t="shared" si="5"/>
        <v>1</v>
      </c>
      <c r="H55" s="962"/>
      <c r="I55" s="962"/>
      <c r="J55" s="963"/>
    </row>
    <row r="56" spans="1:10">
      <c r="A56" s="1044" t="str">
        <f>IF(HOAssumptions!$G$60=1,'Trellis Materials '!A43:E43,"")</f>
        <v>Wire, in-line strainers: 160 feet</v>
      </c>
      <c r="B56" s="1044">
        <f>IF(HOAssumptions!$G$60=1,'Trellis Materials '!B43:F43,"")</f>
        <v>0.3</v>
      </c>
      <c r="C56" s="1045" t="str">
        <f>IF(HOAssumptions!$G$60=1,'Trellis Materials '!C43:G43,"")</f>
        <v>coil</v>
      </c>
      <c r="D56" s="1046">
        <f>IF(HOAssumptions!$G$60=1,'Trellis Materials '!D43:H43,"")</f>
        <v>74</v>
      </c>
      <c r="E56" s="1046">
        <f>IF(HOAssumptions!$G$60=1,'Trellis Materials '!E43:I43,"")</f>
        <v>22.2</v>
      </c>
      <c r="F56" s="1047">
        <f t="shared" si="6"/>
        <v>222</v>
      </c>
      <c r="G56" s="1043">
        <f t="shared" si="5"/>
        <v>1</v>
      </c>
      <c r="H56" s="962"/>
      <c r="I56" s="962"/>
      <c r="J56" s="963"/>
    </row>
    <row r="57" spans="1:10">
      <c r="A57" s="1044" t="str">
        <f>IF(HOAssumptions!$G$60=1,'Trellis Materials '!A44:E44,"")</f>
        <v>Wire, 12.5 ga. high-tensile, galvanized, 18,000 ft/A</v>
      </c>
      <c r="B57" s="1044">
        <f>IF(HOAssumptions!$G$60=1,'Trellis Materials '!B44:F44,"")</f>
        <v>9</v>
      </c>
      <c r="C57" s="1045" t="str">
        <f>IF(HOAssumptions!$G$60=1,'Trellis Materials '!C44:G44,"")</f>
        <v>coil</v>
      </c>
      <c r="D57" s="1046">
        <f>IF(HOAssumptions!$G$60=1,'Trellis Materials '!D44:H44,"")</f>
        <v>159.94999999999999</v>
      </c>
      <c r="E57" s="1046">
        <f>IF(HOAssumptions!$G$60=1,'Trellis Materials '!E44:I44,"")</f>
        <v>1439.55</v>
      </c>
      <c r="F57" s="1047">
        <f t="shared" si="6"/>
        <v>14395.5</v>
      </c>
      <c r="G57" s="1043">
        <f t="shared" si="5"/>
        <v>1</v>
      </c>
      <c r="H57" s="962"/>
      <c r="I57" s="962"/>
      <c r="J57" s="963"/>
    </row>
    <row r="58" spans="1:10" ht="13.5" thickBot="1">
      <c r="A58" s="1048" t="str">
        <f>IF(HOAssumptions!$G$60=1,'Trellis Materials '!A45:E45,"")</f>
        <v>Brace pin 9" x 3/8", zinc-coated</v>
      </c>
      <c r="B58" s="1048">
        <f>IF(HOAssumptions!$G$60=1,'Trellis Materials '!B45:F45,"")</f>
        <v>140</v>
      </c>
      <c r="C58" s="1049" t="str">
        <f>IF(HOAssumptions!$G$60=1,'Trellis Materials '!C45:G45,"")</f>
        <v>ea</v>
      </c>
      <c r="D58" s="1050">
        <f>IF(HOAssumptions!$G$60=1,'Trellis Materials '!D45:H45,"")</f>
        <v>0.15</v>
      </c>
      <c r="E58" s="1050">
        <f>IF(HOAssumptions!$G$60=1,'Trellis Materials '!E45:I45,"")</f>
        <v>21</v>
      </c>
      <c r="F58" s="1051">
        <f t="shared" si="6"/>
        <v>210</v>
      </c>
      <c r="G58" s="1043">
        <f t="shared" si="5"/>
        <v>1</v>
      </c>
      <c r="H58" s="962"/>
      <c r="I58" s="962"/>
      <c r="J58" s="963"/>
    </row>
    <row r="59" spans="1:10" ht="13.5" thickBot="1">
      <c r="A59" s="1052" t="s">
        <v>172</v>
      </c>
      <c r="B59" s="1053"/>
      <c r="C59" s="1053"/>
      <c r="D59" s="1054"/>
      <c r="E59" s="967">
        <f>SUM(E43:E58)</f>
        <v>4219.8</v>
      </c>
      <c r="F59" s="967">
        <f>SUM(F43:F58)</f>
        <v>42198</v>
      </c>
      <c r="G59" s="968"/>
      <c r="H59" s="968"/>
      <c r="I59" s="968"/>
      <c r="J59" s="969"/>
    </row>
    <row r="60" spans="1:10" ht="13.5" thickBot="1">
      <c r="A60" s="951" t="s">
        <v>173</v>
      </c>
      <c r="B60" s="952" t="s">
        <v>7</v>
      </c>
      <c r="C60" s="953" t="s">
        <v>7</v>
      </c>
      <c r="D60" s="954" t="s">
        <v>7</v>
      </c>
      <c r="E60" s="954" t="s">
        <v>7</v>
      </c>
      <c r="F60" s="954"/>
      <c r="G60" s="955"/>
      <c r="H60" s="955"/>
      <c r="I60" s="955"/>
      <c r="J60" s="956"/>
    </row>
    <row r="61" spans="1:10">
      <c r="A61" s="1055" t="s">
        <v>221</v>
      </c>
      <c r="B61" s="972">
        <v>1</v>
      </c>
      <c r="C61" s="1056" t="s">
        <v>222</v>
      </c>
      <c r="D61" s="974">
        <v>10.199999999999999</v>
      </c>
      <c r="E61" s="1057">
        <f>B61*D61</f>
        <v>10.199999999999999</v>
      </c>
      <c r="F61" s="1057">
        <f>E61*10</f>
        <v>102</v>
      </c>
      <c r="G61" s="1058"/>
      <c r="H61" s="1003">
        <v>1</v>
      </c>
      <c r="I61" s="1058"/>
      <c r="J61" s="963"/>
    </row>
    <row r="62" spans="1:10">
      <c r="A62" s="1059" t="s">
        <v>174</v>
      </c>
      <c r="B62" s="977">
        <v>1210</v>
      </c>
      <c r="C62" s="978" t="s">
        <v>175</v>
      </c>
      <c r="D62" s="981">
        <v>1.5</v>
      </c>
      <c r="E62" s="982">
        <f t="shared" ref="E62:E69" si="7">D62*B62</f>
        <v>1815</v>
      </c>
      <c r="F62" s="1060">
        <f t="shared" ref="F62:F69" si="8">E62*10</f>
        <v>18150</v>
      </c>
      <c r="G62" s="1061">
        <v>1</v>
      </c>
      <c r="H62" s="983"/>
      <c r="I62" s="983"/>
      <c r="J62" s="963"/>
    </row>
    <row r="63" spans="1:10">
      <c r="A63" s="1059" t="s">
        <v>227</v>
      </c>
      <c r="B63" s="977">
        <v>109</v>
      </c>
      <c r="C63" s="978" t="s">
        <v>175</v>
      </c>
      <c r="D63" s="981">
        <v>3.25</v>
      </c>
      <c r="E63" s="982">
        <f t="shared" si="7"/>
        <v>354.25</v>
      </c>
      <c r="F63" s="1060">
        <f t="shared" si="8"/>
        <v>3542.5</v>
      </c>
      <c r="G63" s="983"/>
      <c r="H63" s="983">
        <v>1</v>
      </c>
      <c r="I63" s="983"/>
      <c r="J63" s="963"/>
    </row>
    <row r="64" spans="1:10">
      <c r="A64" s="1059" t="s">
        <v>217</v>
      </c>
      <c r="B64" s="977">
        <v>2</v>
      </c>
      <c r="C64" s="978" t="s">
        <v>176</v>
      </c>
      <c r="D64" s="981">
        <v>72</v>
      </c>
      <c r="E64" s="982">
        <f t="shared" si="7"/>
        <v>144</v>
      </c>
      <c r="F64" s="1060">
        <f t="shared" si="8"/>
        <v>1440</v>
      </c>
      <c r="G64" s="983"/>
      <c r="H64" s="983">
        <v>1</v>
      </c>
      <c r="I64" s="983"/>
      <c r="J64" s="963"/>
    </row>
    <row r="65" spans="1:10">
      <c r="A65" s="1059" t="s">
        <v>218</v>
      </c>
      <c r="B65" s="977">
        <v>1</v>
      </c>
      <c r="C65" s="978" t="s">
        <v>177</v>
      </c>
      <c r="D65" s="981">
        <v>115</v>
      </c>
      <c r="E65" s="982">
        <f t="shared" si="7"/>
        <v>115</v>
      </c>
      <c r="F65" s="1060">
        <f t="shared" si="8"/>
        <v>1150</v>
      </c>
      <c r="G65" s="983"/>
      <c r="H65" s="983">
        <v>1</v>
      </c>
      <c r="I65" s="983"/>
      <c r="J65" s="963"/>
    </row>
    <row r="66" spans="1:10">
      <c r="A66" s="1059" t="s">
        <v>577</v>
      </c>
      <c r="B66" s="977">
        <v>1</v>
      </c>
      <c r="C66" s="978" t="s">
        <v>575</v>
      </c>
      <c r="D66" s="981">
        <v>1000</v>
      </c>
      <c r="E66" s="982">
        <f t="shared" si="7"/>
        <v>1000</v>
      </c>
      <c r="F66" s="1060">
        <f>D66*10</f>
        <v>10000</v>
      </c>
      <c r="G66" s="983"/>
      <c r="H66" s="983"/>
      <c r="I66" s="983"/>
      <c r="J66" s="963"/>
    </row>
    <row r="67" spans="1:10">
      <c r="A67" s="1059" t="s">
        <v>578</v>
      </c>
      <c r="B67" s="977">
        <v>1</v>
      </c>
      <c r="C67" s="978" t="s">
        <v>575</v>
      </c>
      <c r="D67" s="981">
        <v>400</v>
      </c>
      <c r="E67" s="982">
        <f t="shared" si="7"/>
        <v>400</v>
      </c>
      <c r="F67" s="1060">
        <f>D67*10</f>
        <v>4000</v>
      </c>
      <c r="G67" s="983"/>
      <c r="H67" s="983"/>
      <c r="I67" s="983"/>
      <c r="J67" s="963"/>
    </row>
    <row r="68" spans="1:10">
      <c r="A68" s="1059" t="s">
        <v>219</v>
      </c>
      <c r="B68" s="977">
        <v>0.4</v>
      </c>
      <c r="C68" s="978" t="s">
        <v>170</v>
      </c>
      <c r="D68" s="981">
        <v>35</v>
      </c>
      <c r="E68" s="982">
        <f t="shared" si="7"/>
        <v>14</v>
      </c>
      <c r="F68" s="1060">
        <f t="shared" si="8"/>
        <v>140</v>
      </c>
      <c r="G68" s="983">
        <v>1</v>
      </c>
      <c r="H68" s="983"/>
      <c r="I68" s="983"/>
      <c r="J68" s="963"/>
    </row>
    <row r="69" spans="1:10">
      <c r="A69" s="1059" t="s">
        <v>220</v>
      </c>
      <c r="B69" s="977">
        <v>2</v>
      </c>
      <c r="C69" s="978" t="s">
        <v>130</v>
      </c>
      <c r="D69" s="981">
        <v>75</v>
      </c>
      <c r="E69" s="982">
        <f t="shared" si="7"/>
        <v>150</v>
      </c>
      <c r="F69" s="1060">
        <f t="shared" si="8"/>
        <v>1500</v>
      </c>
      <c r="G69" s="983"/>
      <c r="H69" s="983"/>
      <c r="I69" s="983">
        <v>3</v>
      </c>
      <c r="J69" s="963">
        <v>3</v>
      </c>
    </row>
    <row r="70" spans="1:10">
      <c r="A70" s="1059" t="s">
        <v>547</v>
      </c>
      <c r="B70" s="977">
        <v>1</v>
      </c>
      <c r="C70" s="978" t="s">
        <v>549</v>
      </c>
      <c r="D70" s="981">
        <v>25</v>
      </c>
      <c r="E70" s="982">
        <f>D70*B70</f>
        <v>25</v>
      </c>
      <c r="F70" s="1060">
        <f>E70*10</f>
        <v>250</v>
      </c>
      <c r="G70" s="983"/>
      <c r="H70" s="983"/>
      <c r="I70" s="983"/>
      <c r="J70" s="963"/>
    </row>
    <row r="71" spans="1:10">
      <c r="A71" s="1059" t="s">
        <v>548</v>
      </c>
      <c r="B71" s="977">
        <v>1</v>
      </c>
      <c r="C71" s="978" t="s">
        <v>549</v>
      </c>
      <c r="D71" s="981">
        <v>0.6</v>
      </c>
      <c r="E71" s="982">
        <f>D71*B71</f>
        <v>0.6</v>
      </c>
      <c r="F71" s="1060">
        <f>E71*10</f>
        <v>6</v>
      </c>
      <c r="G71" s="983"/>
      <c r="H71" s="983"/>
      <c r="I71" s="983"/>
      <c r="J71" s="963"/>
    </row>
    <row r="72" spans="1:10">
      <c r="A72" s="1059" t="s">
        <v>138</v>
      </c>
      <c r="B72" s="977">
        <v>1</v>
      </c>
      <c r="C72" s="978" t="s">
        <v>549</v>
      </c>
      <c r="D72" s="981">
        <v>5</v>
      </c>
      <c r="E72" s="982">
        <f>D72*B72</f>
        <v>5</v>
      </c>
      <c r="F72" s="1060">
        <f>E72*10</f>
        <v>50</v>
      </c>
      <c r="G72" s="983"/>
      <c r="H72" s="983"/>
      <c r="I72" s="983"/>
      <c r="J72" s="963"/>
    </row>
    <row r="73" spans="1:10" ht="13.5" thickBot="1">
      <c r="A73" s="1062" t="s">
        <v>573</v>
      </c>
      <c r="B73" s="986">
        <v>7</v>
      </c>
      <c r="C73" s="987" t="s">
        <v>349</v>
      </c>
      <c r="D73" s="989"/>
      <c r="E73" s="989"/>
      <c r="F73" s="1063"/>
      <c r="G73" s="983"/>
      <c r="H73" s="983"/>
      <c r="I73" s="983"/>
      <c r="J73" s="963"/>
    </row>
    <row r="74" spans="1:10" ht="13.5" thickBot="1">
      <c r="A74" s="964" t="s">
        <v>178</v>
      </c>
      <c r="B74" s="965" t="s">
        <v>7</v>
      </c>
      <c r="C74" s="991" t="s">
        <v>7</v>
      </c>
      <c r="D74" s="967" t="s">
        <v>7</v>
      </c>
      <c r="E74" s="967">
        <f>SUM(E61:E73)</f>
        <v>4033.0499999999997</v>
      </c>
      <c r="F74" s="967">
        <f>SUM(F61:F73)</f>
        <v>40330.5</v>
      </c>
      <c r="G74" s="968"/>
      <c r="H74" s="968"/>
      <c r="I74" s="968"/>
      <c r="J74" s="969"/>
    </row>
    <row r="75" spans="1:10" ht="13.5" thickBot="1">
      <c r="A75" s="307" t="s">
        <v>644</v>
      </c>
      <c r="B75" s="1064"/>
      <c r="C75" s="1065"/>
      <c r="D75" s="1066"/>
      <c r="E75" s="1066"/>
      <c r="F75" s="1066"/>
      <c r="G75" s="1067"/>
      <c r="H75" s="1067"/>
      <c r="I75" s="1067"/>
      <c r="J75" s="1068"/>
    </row>
    <row r="76" spans="1:10">
      <c r="A76" s="1069" t="s">
        <v>645</v>
      </c>
      <c r="B76" s="1070"/>
      <c r="C76" s="1071" t="s">
        <v>646</v>
      </c>
      <c r="D76" s="1072"/>
      <c r="E76" s="1072">
        <f>F76/10</f>
        <v>63</v>
      </c>
      <c r="F76" s="974">
        <v>630</v>
      </c>
      <c r="G76" s="1067"/>
      <c r="H76" s="1067"/>
      <c r="I76" s="1067"/>
      <c r="J76" s="1068"/>
    </row>
    <row r="77" spans="1:10">
      <c r="A77" s="1073" t="s">
        <v>647</v>
      </c>
      <c r="B77" s="1074"/>
      <c r="C77" s="1075"/>
      <c r="D77" s="1076"/>
      <c r="E77" s="1076"/>
      <c r="F77" s="1076"/>
      <c r="G77" s="1067"/>
      <c r="H77" s="1067"/>
      <c r="I77" s="1067"/>
      <c r="J77" s="1068"/>
    </row>
    <row r="78" spans="1:10">
      <c r="A78" s="1077" t="s">
        <v>852</v>
      </c>
      <c r="B78" s="1078"/>
      <c r="C78" s="1079" t="s">
        <v>349</v>
      </c>
      <c r="D78" s="1080">
        <f>Labor!I107</f>
        <v>8.4749230769230781</v>
      </c>
      <c r="E78" s="1080">
        <f>(B78*D78)*2</f>
        <v>0</v>
      </c>
      <c r="F78" s="1081">
        <f>E78*10</f>
        <v>0</v>
      </c>
      <c r="G78" s="1067"/>
      <c r="H78" s="1067"/>
      <c r="I78" s="1067"/>
      <c r="J78" s="1068"/>
    </row>
    <row r="79" spans="1:10">
      <c r="A79" s="1077" t="s">
        <v>850</v>
      </c>
      <c r="B79" s="1082"/>
      <c r="C79" s="1079" t="s">
        <v>263</v>
      </c>
      <c r="D79" s="1083">
        <v>10</v>
      </c>
      <c r="E79" s="1080">
        <f>D79/10</f>
        <v>1</v>
      </c>
      <c r="F79" s="1080">
        <f>E79/10</f>
        <v>0.1</v>
      </c>
      <c r="G79" s="1067"/>
      <c r="H79" s="1067"/>
      <c r="I79" s="1067"/>
      <c r="J79" s="1068"/>
    </row>
    <row r="80" spans="1:10">
      <c r="A80" s="1077" t="s">
        <v>851</v>
      </c>
      <c r="B80" s="1082"/>
      <c r="C80" s="1079" t="s">
        <v>263</v>
      </c>
      <c r="D80" s="1083">
        <v>10</v>
      </c>
      <c r="E80" s="1080">
        <f>D80/10</f>
        <v>1</v>
      </c>
      <c r="F80" s="1080">
        <f>E80/10</f>
        <v>0.1</v>
      </c>
      <c r="G80" s="1067"/>
      <c r="H80" s="1067"/>
      <c r="I80" s="1067"/>
      <c r="J80" s="1068"/>
    </row>
    <row r="81" spans="1:10">
      <c r="A81" s="1077" t="s">
        <v>853</v>
      </c>
      <c r="B81" s="1082"/>
      <c r="C81" s="1079" t="s">
        <v>263</v>
      </c>
      <c r="D81" s="1083"/>
      <c r="E81" s="1080"/>
      <c r="F81" s="1080"/>
      <c r="G81" s="1067"/>
      <c r="H81" s="1067"/>
      <c r="I81" s="1067"/>
      <c r="J81" s="1068"/>
    </row>
    <row r="82" spans="1:10">
      <c r="A82" s="1077" t="s">
        <v>854</v>
      </c>
      <c r="B82" s="1084">
        <v>2</v>
      </c>
      <c r="C82" s="1079" t="s">
        <v>263</v>
      </c>
      <c r="D82" s="1083">
        <v>5</v>
      </c>
      <c r="E82" s="1080">
        <f>D82/10</f>
        <v>0.5</v>
      </c>
      <c r="F82" s="1080">
        <f>B82*D82</f>
        <v>10</v>
      </c>
      <c r="G82" s="1067"/>
      <c r="H82" s="1067"/>
      <c r="I82" s="1067"/>
      <c r="J82" s="1068"/>
    </row>
    <row r="83" spans="1:10">
      <c r="A83" s="1077" t="s">
        <v>860</v>
      </c>
      <c r="B83" s="1084"/>
      <c r="C83" s="1079" t="s">
        <v>263</v>
      </c>
      <c r="D83" s="1083"/>
      <c r="E83" s="1080">
        <f>D83/10</f>
        <v>0</v>
      </c>
      <c r="F83" s="1080">
        <f>B83*D83</f>
        <v>0</v>
      </c>
      <c r="G83" s="1067"/>
      <c r="H83" s="1067"/>
      <c r="I83" s="1067"/>
      <c r="J83" s="1068"/>
    </row>
    <row r="84" spans="1:10">
      <c r="A84" s="1077" t="s">
        <v>849</v>
      </c>
      <c r="B84" s="1082"/>
      <c r="C84" s="1079" t="s">
        <v>646</v>
      </c>
      <c r="D84" s="1080"/>
      <c r="E84" s="1080">
        <f>F84/10</f>
        <v>50</v>
      </c>
      <c r="F84" s="1083">
        <v>500</v>
      </c>
      <c r="G84" s="1067"/>
      <c r="H84" s="1067"/>
      <c r="I84" s="1067"/>
      <c r="J84" s="1068"/>
    </row>
    <row r="85" spans="1:10" ht="13.5" thickBot="1">
      <c r="A85" s="1085" t="s">
        <v>648</v>
      </c>
      <c r="B85" s="1086"/>
      <c r="C85" s="1087" t="s">
        <v>646</v>
      </c>
      <c r="D85" s="1088"/>
      <c r="E85" s="1088">
        <f>F85/10</f>
        <v>80</v>
      </c>
      <c r="F85" s="1089">
        <v>800</v>
      </c>
      <c r="G85" s="1067"/>
      <c r="H85" s="1067"/>
      <c r="I85" s="1067"/>
      <c r="J85" s="1068"/>
    </row>
    <row r="86" spans="1:10" ht="13.5" thickBot="1">
      <c r="A86" s="308" t="s">
        <v>649</v>
      </c>
      <c r="B86" s="1090"/>
      <c r="C86" s="1091"/>
      <c r="D86" s="1090"/>
      <c r="E86" s="1092">
        <f>SUM(E76:E85)</f>
        <v>195.5</v>
      </c>
      <c r="F86" s="1092">
        <f>SUM(F76:F85)</f>
        <v>1940.2</v>
      </c>
      <c r="G86" s="1067"/>
      <c r="H86" s="1067"/>
      <c r="I86" s="1067"/>
      <c r="J86" s="1068"/>
    </row>
    <row r="87" spans="1:10" ht="13.5" thickBot="1">
      <c r="A87" s="1093" t="s">
        <v>262</v>
      </c>
      <c r="B87" s="1094"/>
      <c r="C87" s="1094"/>
      <c r="D87" s="1094"/>
      <c r="E87" s="1094"/>
      <c r="F87" s="1094"/>
      <c r="G87" s="1095"/>
      <c r="H87" s="1095"/>
      <c r="I87" s="1095"/>
      <c r="J87" s="1096"/>
    </row>
    <row r="88" spans="1:10">
      <c r="A88" s="1097" t="s">
        <v>598</v>
      </c>
      <c r="B88" s="1098"/>
      <c r="C88" s="1099" t="s">
        <v>263</v>
      </c>
      <c r="D88" s="1100">
        <f>HOAssumptions!G48</f>
        <v>0.115</v>
      </c>
      <c r="J88" s="1102"/>
    </row>
    <row r="89" spans="1:10">
      <c r="A89" s="1103" t="s">
        <v>385</v>
      </c>
      <c r="B89" s="976"/>
      <c r="C89" s="862" t="s">
        <v>263</v>
      </c>
      <c r="D89" s="1104">
        <v>0.02</v>
      </c>
      <c r="J89" s="1102"/>
    </row>
    <row r="90" spans="1:10">
      <c r="A90" s="1103" t="s">
        <v>386</v>
      </c>
      <c r="B90" s="976"/>
      <c r="C90" s="862" t="s">
        <v>263</v>
      </c>
      <c r="D90" s="1100">
        <f>HOAssumptions!G49</f>
        <v>1.75</v>
      </c>
      <c r="J90" s="1102"/>
    </row>
    <row r="91" spans="1:10" ht="13.5" thickBot="1">
      <c r="A91" s="1105" t="s">
        <v>311</v>
      </c>
      <c r="B91" s="1106"/>
      <c r="C91" s="1107" t="s">
        <v>263</v>
      </c>
      <c r="D91" s="1108">
        <v>2.25</v>
      </c>
      <c r="J91" s="1102"/>
    </row>
    <row r="92" spans="1:10" ht="13.5" thickBot="1">
      <c r="A92" s="1109"/>
      <c r="B92" s="1110"/>
      <c r="C92" s="1110"/>
      <c r="D92" s="1111">
        <f>SUM(D88:D91)</f>
        <v>4.1349999999999998</v>
      </c>
      <c r="E92" s="1110"/>
      <c r="F92" s="1110"/>
      <c r="G92" s="1112"/>
      <c r="H92" s="1112"/>
      <c r="I92" s="1112"/>
      <c r="J92" s="1113"/>
    </row>
    <row r="93" spans="1:10" ht="13.5" thickBot="1">
      <c r="A93" s="1114" t="s">
        <v>345</v>
      </c>
      <c r="B93" s="1115"/>
      <c r="C93" s="1115"/>
      <c r="D93" s="1115"/>
      <c r="E93" s="1115"/>
      <c r="F93" s="1115"/>
      <c r="G93" s="1116"/>
      <c r="H93" s="1116"/>
      <c r="I93" s="1116"/>
      <c r="J93" s="1117"/>
    </row>
    <row r="94" spans="1:10">
      <c r="A94" s="1097" t="s">
        <v>346</v>
      </c>
      <c r="B94" s="1098"/>
      <c r="C94" s="1118" t="s">
        <v>402</v>
      </c>
      <c r="D94" s="1100">
        <f>HOAssumptions!G42</f>
        <v>3.5</v>
      </c>
      <c r="J94" s="1102"/>
    </row>
    <row r="95" spans="1:10">
      <c r="A95" s="1103" t="s">
        <v>347</v>
      </c>
      <c r="B95" s="976"/>
      <c r="C95" s="1119" t="s">
        <v>349</v>
      </c>
      <c r="D95" s="1100">
        <f>HOAssumptions!G45</f>
        <v>7.5</v>
      </c>
      <c r="J95" s="1102"/>
    </row>
    <row r="96" spans="1:10">
      <c r="A96" s="1103" t="s">
        <v>348</v>
      </c>
      <c r="B96" s="976"/>
      <c r="C96" s="1119" t="s">
        <v>402</v>
      </c>
      <c r="D96" s="1100">
        <f>HOAssumptions!G44</f>
        <v>0.25</v>
      </c>
      <c r="J96" s="1102"/>
    </row>
    <row r="97" spans="1:10" ht="13.5" thickBot="1">
      <c r="A97" s="1120" t="s">
        <v>401</v>
      </c>
      <c r="B97" s="1121"/>
      <c r="C97" s="1122" t="s">
        <v>402</v>
      </c>
      <c r="D97" s="1100">
        <f>HOAssumptions!G43</f>
        <v>0.5</v>
      </c>
      <c r="E97" s="820"/>
      <c r="F97" s="820"/>
      <c r="G97" s="1123"/>
      <c r="H97" s="1123"/>
      <c r="I97" s="1123"/>
      <c r="J97" s="1124"/>
    </row>
    <row r="98" spans="1:10" ht="13.5" thickBot="1">
      <c r="A98" s="1125"/>
      <c r="B98" s="1125"/>
      <c r="C98" s="1125"/>
      <c r="D98" s="1125"/>
      <c r="E98" s="1125"/>
      <c r="F98" s="1125"/>
      <c r="G98" s="1126"/>
      <c r="H98" s="1126"/>
      <c r="I98" s="1126"/>
      <c r="J98" s="1127"/>
    </row>
    <row r="99" spans="1:10" ht="13.5" thickBot="1">
      <c r="A99" s="309" t="s">
        <v>652</v>
      </c>
      <c r="B99" s="1128"/>
      <c r="C99" s="1128"/>
      <c r="D99" s="1128"/>
      <c r="E99" s="1128"/>
      <c r="F99" s="1128"/>
      <c r="G99" s="1129"/>
      <c r="H99" s="1129"/>
      <c r="I99" s="1129"/>
      <c r="J99" s="1130"/>
    </row>
    <row r="100" spans="1:10">
      <c r="A100" s="1131" t="s">
        <v>39</v>
      </c>
      <c r="B100" s="971"/>
      <c r="C100" s="1132" t="s">
        <v>162</v>
      </c>
      <c r="D100" s="1133">
        <v>16</v>
      </c>
      <c r="J100" s="1102"/>
    </row>
    <row r="101" spans="1:10">
      <c r="A101" s="1134" t="s">
        <v>41</v>
      </c>
      <c r="B101" s="976"/>
      <c r="C101" s="1119" t="s">
        <v>162</v>
      </c>
      <c r="D101" s="1135">
        <v>10</v>
      </c>
      <c r="J101" s="1102"/>
    </row>
    <row r="102" spans="1:10">
      <c r="A102" s="1134" t="s">
        <v>43</v>
      </c>
      <c r="B102" s="976"/>
      <c r="C102" s="1119" t="s">
        <v>162</v>
      </c>
      <c r="D102" s="1135">
        <v>100</v>
      </c>
      <c r="J102" s="1102"/>
    </row>
    <row r="103" spans="1:10">
      <c r="A103" s="1134" t="s">
        <v>45</v>
      </c>
      <c r="B103" s="976"/>
      <c r="C103" s="1119" t="s">
        <v>162</v>
      </c>
      <c r="D103" s="1135">
        <v>35</v>
      </c>
      <c r="J103" s="1102"/>
    </row>
    <row r="104" spans="1:10">
      <c r="A104" s="1134" t="s">
        <v>47</v>
      </c>
      <c r="B104" s="976"/>
      <c r="C104" s="1119" t="s">
        <v>162</v>
      </c>
      <c r="D104" s="1135">
        <v>25</v>
      </c>
      <c r="J104" s="1102"/>
    </row>
    <row r="105" spans="1:10" ht="13.5" thickBot="1">
      <c r="A105" s="1136" t="s">
        <v>53</v>
      </c>
      <c r="B105" s="1121"/>
      <c r="C105" s="1122" t="s">
        <v>162</v>
      </c>
      <c r="D105" s="1137">
        <v>70</v>
      </c>
      <c r="J105" s="1102"/>
    </row>
    <row r="106" spans="1:10" ht="13.5" thickBot="1">
      <c r="A106" s="1138"/>
      <c r="B106" s="1138"/>
      <c r="C106" s="1138"/>
      <c r="D106" s="1138"/>
      <c r="E106" s="1138"/>
      <c r="F106" s="1138"/>
      <c r="G106" s="1139"/>
      <c r="H106" s="1139"/>
      <c r="I106" s="1139"/>
      <c r="J106" s="1140"/>
    </row>
    <row r="107" spans="1:10" ht="13.5" thickBot="1">
      <c r="A107" s="1128"/>
      <c r="B107" s="1128"/>
      <c r="C107" s="1128"/>
      <c r="D107" s="1128"/>
      <c r="E107" s="1128"/>
      <c r="F107" s="1128"/>
      <c r="G107" s="1129"/>
      <c r="H107" s="1129"/>
      <c r="I107" s="1129"/>
      <c r="J107" s="1130"/>
    </row>
  </sheetData>
  <sheetProtection password="A5F1" sheet="1" objects="1" scenarios="1"/>
  <phoneticPr fontId="0" type="noConversion"/>
  <pageMargins left="1.24" right="0.48" top="0.11" bottom="0.46" header="0.22" footer="0.5"/>
  <pageSetup scale="70" orientation="landscape" horizontalDpi="1200" verticalDpi="1200"/>
  <headerFooter alignWithMargins="0"/>
  <ignoredErrors>
    <ignoredError sqref="A43:G58 A42" emptyCellReference="1"/>
  </ignoredErrors>
</worksheet>
</file>

<file path=xl/worksheets/sheet13.xml><?xml version="1.0" encoding="utf-8"?>
<worksheet xmlns="http://schemas.openxmlformats.org/spreadsheetml/2006/main" xmlns:r="http://schemas.openxmlformats.org/officeDocument/2006/relationships">
  <sheetPr enableFormatConditionsCalculation="0">
    <tabColor theme="3" tint="0.39997558519241921"/>
  </sheetPr>
  <dimension ref="B1:K27"/>
  <sheetViews>
    <sheetView topLeftCell="B1" zoomScaleNormal="100" workbookViewId="0">
      <selection activeCell="G57" sqref="G57"/>
    </sheetView>
  </sheetViews>
  <sheetFormatPr defaultColWidth="8.85546875" defaultRowHeight="12.75"/>
  <cols>
    <col min="3" max="6" width="10.7109375" customWidth="1"/>
  </cols>
  <sheetData>
    <row r="1" spans="2:11">
      <c r="I1" s="9"/>
      <c r="J1" s="9"/>
      <c r="K1" s="9"/>
    </row>
    <row r="2" spans="2:11">
      <c r="B2" s="13"/>
      <c r="C2" s="1636" t="s">
        <v>738</v>
      </c>
      <c r="D2" s="1636"/>
      <c r="E2" s="1636"/>
      <c r="F2" s="1636"/>
      <c r="G2" s="1636"/>
      <c r="H2" s="1636"/>
      <c r="I2" s="1636"/>
    </row>
    <row r="3" spans="2:11">
      <c r="B3" s="11" t="s">
        <v>7</v>
      </c>
    </row>
    <row r="5" spans="2:11">
      <c r="D5" s="11" t="s">
        <v>585</v>
      </c>
      <c r="F5" s="11" t="s">
        <v>587</v>
      </c>
      <c r="G5" s="315">
        <f>HOAssumptions!G17</f>
        <v>0.8</v>
      </c>
    </row>
    <row r="6" spans="2:11">
      <c r="D6" s="11" t="s">
        <v>586</v>
      </c>
      <c r="F6" s="11" t="s">
        <v>587</v>
      </c>
      <c r="G6" s="80">
        <f>1-G5</f>
        <v>0.19999999999999996</v>
      </c>
    </row>
    <row r="8" spans="2:11">
      <c r="D8" s="299" t="s">
        <v>584</v>
      </c>
      <c r="E8" s="189"/>
      <c r="F8" s="298" t="s">
        <v>147</v>
      </c>
      <c r="G8" s="298" t="s">
        <v>588</v>
      </c>
      <c r="H8" s="301" t="s">
        <v>586</v>
      </c>
      <c r="I8" s="272"/>
      <c r="J8" s="272"/>
    </row>
    <row r="9" spans="2:11">
      <c r="D9" s="299"/>
      <c r="E9" s="189"/>
      <c r="F9" s="298"/>
      <c r="G9" s="298"/>
      <c r="H9" s="298"/>
      <c r="I9" s="272"/>
      <c r="J9" s="272"/>
    </row>
    <row r="10" spans="2:11">
      <c r="D10" s="189"/>
      <c r="E10" s="189"/>
      <c r="F10" s="298" t="s">
        <v>410</v>
      </c>
      <c r="G10" s="298" t="s">
        <v>410</v>
      </c>
      <c r="H10" s="297"/>
    </row>
    <row r="12" spans="2:11">
      <c r="D12" s="11" t="s">
        <v>157</v>
      </c>
      <c r="E12" s="11" t="s">
        <v>589</v>
      </c>
      <c r="F12" s="313">
        <f>HOAssumptions!G14</f>
        <v>16500</v>
      </c>
      <c r="G12" s="182">
        <f>G5*F12</f>
        <v>13200</v>
      </c>
      <c r="H12" s="182">
        <f>F12-G12</f>
        <v>3300</v>
      </c>
    </row>
    <row r="13" spans="2:11">
      <c r="E13" s="11" t="s">
        <v>654</v>
      </c>
      <c r="G13" s="182">
        <f>G12*2</f>
        <v>26400</v>
      </c>
    </row>
    <row r="14" spans="2:11">
      <c r="D14" s="74"/>
      <c r="E14" s="275" t="s">
        <v>356</v>
      </c>
      <c r="F14" s="74"/>
      <c r="G14" s="295">
        <f>G13/12</f>
        <v>2200</v>
      </c>
      <c r="H14" s="74"/>
    </row>
    <row r="15" spans="2:11">
      <c r="E15" s="11"/>
      <c r="G15" s="274"/>
    </row>
    <row r="16" spans="2:11">
      <c r="D16" s="11" t="s">
        <v>603</v>
      </c>
      <c r="E16" s="11" t="s">
        <v>589</v>
      </c>
      <c r="F16" s="313">
        <f>HOAssumptions!G15</f>
        <v>19000</v>
      </c>
      <c r="G16" s="182">
        <f>G5*F16</f>
        <v>15200</v>
      </c>
      <c r="H16" s="182">
        <f>F16-G16</f>
        <v>3800</v>
      </c>
    </row>
    <row r="17" spans="4:10">
      <c r="E17" s="11" t="s">
        <v>654</v>
      </c>
      <c r="G17" s="182">
        <f>G16*2</f>
        <v>30400</v>
      </c>
    </row>
    <row r="18" spans="4:10">
      <c r="D18" s="74"/>
      <c r="E18" s="275" t="s">
        <v>356</v>
      </c>
      <c r="F18" s="74"/>
      <c r="G18" s="295">
        <f>G17/12</f>
        <v>2533.3333333333335</v>
      </c>
      <c r="H18" s="74"/>
    </row>
    <row r="21" spans="4:10">
      <c r="D21" s="271" t="s">
        <v>387</v>
      </c>
      <c r="E21" s="271"/>
      <c r="F21" s="271"/>
      <c r="G21" s="271"/>
      <c r="H21" s="271"/>
      <c r="I21" s="273"/>
      <c r="J21" s="273"/>
    </row>
    <row r="22" spans="4:10">
      <c r="D22" s="271"/>
      <c r="E22" s="271"/>
      <c r="F22" s="271"/>
      <c r="G22" s="271"/>
      <c r="H22" s="271"/>
      <c r="I22" s="273"/>
      <c r="J22" s="273"/>
    </row>
    <row r="23" spans="4:10">
      <c r="D23" s="11" t="s">
        <v>306</v>
      </c>
      <c r="E23" s="11"/>
      <c r="F23" s="11" t="s">
        <v>354</v>
      </c>
      <c r="G23" s="11"/>
      <c r="H23" s="316">
        <f>HOAssumptions!G28</f>
        <v>14</v>
      </c>
      <c r="I23" s="6"/>
      <c r="J23" s="6"/>
    </row>
    <row r="24" spans="4:10">
      <c r="D24" s="11"/>
      <c r="E24" s="11"/>
      <c r="F24" s="11" t="s">
        <v>655</v>
      </c>
      <c r="G24" s="276"/>
      <c r="H24" s="276">
        <f>H23/12</f>
        <v>1.1666666666666667</v>
      </c>
      <c r="I24" s="6"/>
      <c r="J24" s="6"/>
    </row>
    <row r="25" spans="4:10">
      <c r="D25" s="11"/>
      <c r="E25" s="11"/>
      <c r="F25" s="11" t="s">
        <v>355</v>
      </c>
      <c r="G25" s="276"/>
      <c r="H25" s="276">
        <f>H24*2</f>
        <v>2.3333333333333335</v>
      </c>
      <c r="I25" s="6"/>
      <c r="J25" s="6"/>
    </row>
    <row r="26" spans="4:10">
      <c r="D26" s="11" t="s">
        <v>307</v>
      </c>
      <c r="E26" s="11"/>
      <c r="F26" s="11"/>
      <c r="G26" s="11"/>
      <c r="H26" s="316">
        <f>HOAssumptions!G30</f>
        <v>0</v>
      </c>
      <c r="I26" s="6"/>
      <c r="J26" s="6"/>
    </row>
    <row r="27" spans="4:10">
      <c r="D27" s="63"/>
      <c r="E27" s="63"/>
      <c r="F27" s="296"/>
      <c r="G27" s="79" t="s">
        <v>7</v>
      </c>
      <c r="H27" s="63"/>
      <c r="I27" s="300"/>
      <c r="J27" s="300"/>
    </row>
  </sheetData>
  <sheetProtection password="A5F1" sheet="1" objects="1" scenarios="1"/>
  <mergeCells count="1">
    <mergeCell ref="C2:I2"/>
  </mergeCells>
  <pageMargins left="0.7" right="0.7" top="0.75" bottom="0.75" header="0.3" footer="0.3"/>
  <pageSetup orientation="landscape"/>
</worksheet>
</file>

<file path=xl/worksheets/sheet14.xml><?xml version="1.0" encoding="utf-8"?>
<worksheet xmlns="http://schemas.openxmlformats.org/spreadsheetml/2006/main" xmlns:r="http://schemas.openxmlformats.org/officeDocument/2006/relationships">
  <sheetPr enableFormatConditionsCalculation="0">
    <tabColor theme="3" tint="0.39997558519241921"/>
  </sheetPr>
  <dimension ref="B1:J108"/>
  <sheetViews>
    <sheetView topLeftCell="A63" workbookViewId="0">
      <selection activeCell="G57" sqref="G57"/>
    </sheetView>
  </sheetViews>
  <sheetFormatPr defaultColWidth="8.85546875" defaultRowHeight="12.75"/>
  <cols>
    <col min="1" max="1" width="4.85546875" customWidth="1"/>
  </cols>
  <sheetData>
    <row r="1" spans="2:10">
      <c r="B1" s="1610" t="s">
        <v>423</v>
      </c>
      <c r="C1" s="1610"/>
      <c r="D1" s="1610"/>
      <c r="E1" s="1610"/>
      <c r="F1" s="1610"/>
      <c r="G1" s="1610"/>
      <c r="H1" s="1610"/>
      <c r="I1" s="1610"/>
      <c r="J1" s="1610"/>
    </row>
    <row r="2" spans="2:10">
      <c r="B2" s="1610" t="s">
        <v>424</v>
      </c>
      <c r="C2" s="1610"/>
      <c r="D2" s="1610"/>
      <c r="E2" s="1610"/>
      <c r="F2" s="1610"/>
      <c r="G2" s="1610"/>
      <c r="H2" s="1610"/>
      <c r="I2" s="1610"/>
      <c r="J2" s="1610"/>
    </row>
    <row r="3" spans="2:10">
      <c r="B3" s="94"/>
      <c r="C3" s="94"/>
      <c r="D3" s="94"/>
      <c r="E3" s="94"/>
      <c r="F3" s="94"/>
      <c r="G3" s="94"/>
      <c r="H3" s="94"/>
      <c r="I3" s="94"/>
      <c r="J3" s="94"/>
    </row>
    <row r="4" spans="2:10">
      <c r="B4" s="11" t="s">
        <v>428</v>
      </c>
      <c r="D4" s="1662" t="s">
        <v>744</v>
      </c>
      <c r="E4" s="1662"/>
      <c r="F4" s="1662"/>
      <c r="G4" s="116" t="s">
        <v>426</v>
      </c>
      <c r="H4" s="1662" t="s">
        <v>429</v>
      </c>
      <c r="I4" s="1662"/>
      <c r="J4" s="1662"/>
    </row>
    <row r="6" spans="2:10">
      <c r="B6" s="1645" t="s">
        <v>430</v>
      </c>
      <c r="C6" s="1640"/>
      <c r="D6" s="1640"/>
      <c r="E6" s="1640"/>
      <c r="I6" s="1641" t="s">
        <v>431</v>
      </c>
      <c r="J6" s="1641"/>
    </row>
    <row r="7" spans="2:10">
      <c r="B7" t="s">
        <v>432</v>
      </c>
    </row>
    <row r="8" spans="2:10">
      <c r="B8" s="116" t="s">
        <v>433</v>
      </c>
      <c r="C8" t="s">
        <v>434</v>
      </c>
      <c r="D8" s="119">
        <v>40</v>
      </c>
      <c r="E8" s="5" t="s">
        <v>435</v>
      </c>
      <c r="F8" s="119">
        <v>52</v>
      </c>
      <c r="G8" s="10"/>
    </row>
    <row r="9" spans="2:10">
      <c r="B9" s="116" t="s">
        <v>436</v>
      </c>
      <c r="C9" t="s">
        <v>437</v>
      </c>
      <c r="D9" s="120">
        <f>(D8*F8)</f>
        <v>2080</v>
      </c>
      <c r="E9" t="s">
        <v>438</v>
      </c>
      <c r="F9" s="317">
        <f>HOAssumptions!G36</f>
        <v>14</v>
      </c>
      <c r="I9" s="1663">
        <f>(D9*F9)</f>
        <v>29120</v>
      </c>
      <c r="J9" s="1663"/>
    </row>
    <row r="11" spans="2:10">
      <c r="B11" s="1640" t="s">
        <v>439</v>
      </c>
      <c r="C11" s="1640"/>
      <c r="D11" s="1640"/>
      <c r="E11" s="122">
        <v>6.2E-2</v>
      </c>
      <c r="F11" s="10" t="s">
        <v>440</v>
      </c>
      <c r="G11" s="123">
        <v>90000</v>
      </c>
      <c r="I11" s="1660">
        <f>IF(I9&lt;87900,E11*I9,E11*87900)</f>
        <v>1805.44</v>
      </c>
      <c r="J11" s="1660"/>
    </row>
    <row r="12" spans="2:10">
      <c r="B12" s="1640" t="s">
        <v>441</v>
      </c>
      <c r="C12" s="1640"/>
      <c r="D12" s="1640"/>
      <c r="E12" s="122">
        <v>1.4500000000000001E-2</v>
      </c>
      <c r="F12" s="10"/>
      <c r="G12" s="124"/>
      <c r="I12" s="1640">
        <f>(E12*I9)</f>
        <v>422.24</v>
      </c>
      <c r="J12" s="1640"/>
    </row>
    <row r="14" spans="2:10">
      <c r="B14" s="1640" t="s">
        <v>442</v>
      </c>
      <c r="C14" s="1640"/>
      <c r="D14" s="1640"/>
    </row>
    <row r="15" spans="2:10">
      <c r="C15" s="125" t="s">
        <v>443</v>
      </c>
      <c r="D15" s="1657">
        <v>1.2E-2</v>
      </c>
      <c r="E15" s="1657"/>
      <c r="F15" s="10" t="s">
        <v>444</v>
      </c>
      <c r="G15" s="126">
        <v>16200</v>
      </c>
      <c r="I15" s="1659">
        <f>IF(I9&gt;16200,D15*16200,D15*I9)</f>
        <v>194.4</v>
      </c>
      <c r="J15" s="1659"/>
    </row>
    <row r="16" spans="2:10">
      <c r="C16" s="127" t="s">
        <v>445</v>
      </c>
      <c r="D16" s="1657">
        <v>8.0000000000000002E-3</v>
      </c>
      <c r="E16" s="1658"/>
      <c r="F16" s="10" t="s">
        <v>444</v>
      </c>
      <c r="G16" s="128">
        <v>7000</v>
      </c>
      <c r="I16" s="1659">
        <f>IF(I9&gt;7000,D16*7000,D16*I9)</f>
        <v>56</v>
      </c>
      <c r="J16" s="1659"/>
    </row>
    <row r="18" spans="2:10">
      <c r="B18" s="1640" t="s">
        <v>446</v>
      </c>
      <c r="C18" s="1640"/>
      <c r="D18" s="1640"/>
      <c r="E18" s="1640"/>
    </row>
    <row r="19" spans="2:10">
      <c r="C19" s="121">
        <v>3.79</v>
      </c>
      <c r="D19" s="1641" t="s">
        <v>447</v>
      </c>
      <c r="E19" s="1641"/>
      <c r="I19" s="1652">
        <f>((I9/100)*C19)</f>
        <v>1103.6479999999999</v>
      </c>
      <c r="J19" s="1652"/>
    </row>
    <row r="21" spans="2:10">
      <c r="B21" s="1656" t="s">
        <v>448</v>
      </c>
      <c r="C21" s="1656"/>
      <c r="D21" s="1656"/>
      <c r="E21" s="1656"/>
      <c r="F21" s="1656"/>
      <c r="G21" s="1656"/>
      <c r="H21" s="87"/>
      <c r="I21" s="1661">
        <f>(I9+I11+I12+I15+I16+I19)</f>
        <v>32701.728000000003</v>
      </c>
      <c r="J21" s="1661"/>
    </row>
    <row r="23" spans="2:10">
      <c r="B23" s="1645" t="s">
        <v>449</v>
      </c>
      <c r="C23" s="1645"/>
    </row>
    <row r="24" spans="2:10">
      <c r="B24" s="1640" t="s">
        <v>450</v>
      </c>
      <c r="C24" s="1640"/>
      <c r="D24" s="118"/>
      <c r="I24" s="1651">
        <v>0</v>
      </c>
      <c r="J24" s="1651"/>
    </row>
    <row r="25" spans="2:10">
      <c r="B25" s="1640" t="s">
        <v>451</v>
      </c>
      <c r="C25" s="1640"/>
    </row>
    <row r="26" spans="2:10">
      <c r="C26" s="118" t="s">
        <v>452</v>
      </c>
      <c r="D26" s="118"/>
      <c r="I26" s="1651">
        <v>0</v>
      </c>
      <c r="J26" s="1651"/>
    </row>
    <row r="27" spans="2:10">
      <c r="C27" s="118" t="s">
        <v>453</v>
      </c>
      <c r="I27" s="1651">
        <v>0</v>
      </c>
      <c r="J27" s="1651"/>
    </row>
    <row r="28" spans="2:10">
      <c r="C28" t="s">
        <v>454</v>
      </c>
      <c r="I28" s="1651">
        <v>0</v>
      </c>
      <c r="J28" s="1651"/>
    </row>
    <row r="29" spans="2:10">
      <c r="C29" t="s">
        <v>455</v>
      </c>
      <c r="I29" s="1651">
        <v>0</v>
      </c>
      <c r="J29" s="1651"/>
    </row>
    <row r="30" spans="2:10">
      <c r="C30" s="1640" t="s">
        <v>456</v>
      </c>
      <c r="D30" s="1640"/>
      <c r="I30" s="1651">
        <v>0</v>
      </c>
      <c r="J30" s="1651"/>
    </row>
    <row r="31" spans="2:10">
      <c r="C31" t="s">
        <v>457</v>
      </c>
      <c r="D31" s="1650"/>
      <c r="E31" s="1650"/>
      <c r="F31" s="1650"/>
      <c r="I31" s="1653">
        <v>0</v>
      </c>
      <c r="J31" s="1653"/>
    </row>
    <row r="32" spans="2:10">
      <c r="C32" t="s">
        <v>458</v>
      </c>
      <c r="D32" s="1650"/>
      <c r="E32" s="1650"/>
      <c r="F32" s="1650"/>
      <c r="I32" s="1651">
        <v>0</v>
      </c>
      <c r="J32" s="1651"/>
    </row>
    <row r="33" spans="2:10">
      <c r="C33" t="s">
        <v>459</v>
      </c>
      <c r="I33" s="1651">
        <f>SUM(I26:I32)</f>
        <v>0</v>
      </c>
      <c r="J33" s="1651"/>
    </row>
    <row r="34" spans="2:10">
      <c r="B34" s="1640" t="s">
        <v>460</v>
      </c>
      <c r="C34" s="1640"/>
      <c r="D34" s="1650"/>
      <c r="E34" s="1650"/>
      <c r="F34" s="1650"/>
      <c r="I34" s="1651">
        <v>0</v>
      </c>
      <c r="J34" s="1651"/>
    </row>
    <row r="35" spans="2:10">
      <c r="B35" s="1640" t="s">
        <v>461</v>
      </c>
      <c r="C35" s="1640"/>
      <c r="I35" s="1642">
        <v>0</v>
      </c>
      <c r="J35" s="1642"/>
    </row>
    <row r="36" spans="2:10">
      <c r="B36" s="1640" t="s">
        <v>462</v>
      </c>
      <c r="C36" s="1640"/>
      <c r="I36" s="1642">
        <v>0</v>
      </c>
      <c r="J36" s="1642"/>
    </row>
    <row r="37" spans="2:10">
      <c r="B37" s="1640" t="s">
        <v>463</v>
      </c>
      <c r="C37" s="1640"/>
      <c r="I37" s="1642">
        <v>0</v>
      </c>
      <c r="J37" s="1642"/>
    </row>
    <row r="38" spans="2:10">
      <c r="B38" s="1640" t="s">
        <v>464</v>
      </c>
      <c r="C38" s="1640"/>
      <c r="D38" s="1640"/>
      <c r="E38" s="1640"/>
      <c r="F38" s="1640"/>
      <c r="I38" s="1642">
        <v>0</v>
      </c>
      <c r="J38" s="1642"/>
    </row>
    <row r="39" spans="2:10">
      <c r="B39" s="1640" t="s">
        <v>465</v>
      </c>
      <c r="C39" s="1640"/>
      <c r="I39" s="1642">
        <v>0</v>
      </c>
      <c r="J39" s="1642"/>
    </row>
    <row r="40" spans="2:10">
      <c r="B40" t="s">
        <v>466</v>
      </c>
      <c r="C40" s="1646"/>
      <c r="D40" s="1646"/>
      <c r="E40" s="1646"/>
      <c r="F40" s="1646"/>
      <c r="I40" s="1642">
        <v>0</v>
      </c>
      <c r="J40" s="1642"/>
    </row>
    <row r="41" spans="2:10">
      <c r="B41" t="s">
        <v>467</v>
      </c>
      <c r="C41" s="1646"/>
      <c r="D41" s="1646"/>
      <c r="E41" s="1646"/>
      <c r="F41" s="1646"/>
      <c r="I41" s="1642">
        <v>0</v>
      </c>
      <c r="J41" s="1642"/>
    </row>
    <row r="42" spans="2:10">
      <c r="B42" t="s">
        <v>468</v>
      </c>
      <c r="C42" s="1646"/>
      <c r="D42" s="1646"/>
      <c r="E42" s="1646"/>
      <c r="F42" s="1646"/>
      <c r="I42" s="1642">
        <v>0</v>
      </c>
      <c r="J42" s="1642"/>
    </row>
    <row r="43" spans="2:10" ht="13.5" thickBot="1">
      <c r="B43" t="s">
        <v>469</v>
      </c>
      <c r="C43" s="1646"/>
      <c r="D43" s="1646"/>
      <c r="E43" s="1646"/>
      <c r="F43" s="1646"/>
      <c r="I43" s="1642">
        <v>0</v>
      </c>
      <c r="J43" s="1642"/>
    </row>
    <row r="44" spans="2:10" ht="13.5" thickTop="1">
      <c r="B44" s="1647" t="s">
        <v>470</v>
      </c>
      <c r="C44" s="1647"/>
      <c r="D44" s="1647"/>
      <c r="E44" s="1647"/>
      <c r="F44" s="1647"/>
      <c r="G44" s="129"/>
      <c r="H44" s="87"/>
      <c r="I44" s="1648">
        <f>(I24+I33+I34+I35+I36+I37+I38+I39+I40+I41+I42+I43)</f>
        <v>0</v>
      </c>
      <c r="J44" s="1649"/>
    </row>
    <row r="45" spans="2:10" ht="13.5" thickBot="1">
      <c r="B45" s="1639" t="s">
        <v>471</v>
      </c>
      <c r="C45" s="1639"/>
      <c r="D45" s="1639"/>
      <c r="E45" s="1639"/>
      <c r="F45" s="1639"/>
      <c r="G45" s="87"/>
      <c r="H45" s="87"/>
      <c r="I45" s="1643">
        <f>(I21+I44)</f>
        <v>32701.728000000003</v>
      </c>
      <c r="J45" s="1644"/>
    </row>
    <row r="46" spans="2:10" ht="13.5" thickTop="1">
      <c r="B46" s="1645" t="s">
        <v>472</v>
      </c>
      <c r="C46" s="1645"/>
      <c r="D46" s="1645"/>
      <c r="E46" s="118"/>
    </row>
    <row r="47" spans="2:10">
      <c r="B47" s="1640" t="s">
        <v>473</v>
      </c>
      <c r="C47" s="1640"/>
      <c r="D47" s="130">
        <v>0</v>
      </c>
      <c r="E47" s="1641" t="s">
        <v>474</v>
      </c>
      <c r="F47" s="1641"/>
      <c r="G47" s="50">
        <f>(D47*8)</f>
        <v>0</v>
      </c>
      <c r="H47" s="5" t="s">
        <v>475</v>
      </c>
      <c r="I47" s="5"/>
    </row>
    <row r="48" spans="2:10">
      <c r="B48" s="1640" t="s">
        <v>476</v>
      </c>
      <c r="C48" s="1640"/>
      <c r="D48" s="130">
        <v>0</v>
      </c>
      <c r="E48" s="1641" t="s">
        <v>474</v>
      </c>
      <c r="F48" s="1641"/>
      <c r="G48" s="50">
        <f>(D48*8)</f>
        <v>0</v>
      </c>
      <c r="H48" s="131" t="s">
        <v>475</v>
      </c>
    </row>
    <row r="49" spans="2:10">
      <c r="B49" s="1640" t="s">
        <v>477</v>
      </c>
      <c r="C49" s="1640"/>
      <c r="D49" s="130">
        <v>0</v>
      </c>
      <c r="E49" s="1641" t="s">
        <v>474</v>
      </c>
      <c r="F49" s="1641"/>
      <c r="G49" s="50">
        <f>(D49*8)</f>
        <v>0</v>
      </c>
      <c r="H49" s="131" t="s">
        <v>475</v>
      </c>
    </row>
    <row r="50" spans="2:10">
      <c r="B50" s="1640" t="s">
        <v>478</v>
      </c>
      <c r="C50" s="1640"/>
      <c r="D50" s="1640"/>
      <c r="E50" s="1640"/>
      <c r="G50" s="50">
        <f>(G47+G48+G49)</f>
        <v>0</v>
      </c>
      <c r="H50" s="5" t="s">
        <v>479</v>
      </c>
    </row>
    <row r="51" spans="2:10">
      <c r="B51" s="1640" t="s">
        <v>480</v>
      </c>
      <c r="C51" s="1640"/>
      <c r="D51" s="1640"/>
      <c r="G51" s="50">
        <f>(D9-G50)</f>
        <v>2080</v>
      </c>
    </row>
    <row r="52" spans="2:10" ht="13.5" thickBot="1">
      <c r="B52" s="118"/>
      <c r="C52" s="118"/>
      <c r="D52" s="118"/>
      <c r="G52" s="50"/>
    </row>
    <row r="53" spans="2:10" ht="14.25" thickTop="1" thickBot="1">
      <c r="B53" s="1639" t="s">
        <v>481</v>
      </c>
      <c r="C53" s="1639"/>
      <c r="D53" s="1639"/>
      <c r="E53" s="1639"/>
      <c r="F53" s="1639"/>
      <c r="G53" s="1639"/>
      <c r="H53" s="87"/>
      <c r="I53" s="1637">
        <f>(I45/G51)</f>
        <v>15.721984615384617</v>
      </c>
      <c r="J53" s="1638"/>
    </row>
    <row r="54" spans="2:10" ht="13.5" thickTop="1"/>
    <row r="55" spans="2:10">
      <c r="B55" s="1610" t="s">
        <v>423</v>
      </c>
      <c r="C55" s="1610"/>
      <c r="D55" s="1610"/>
      <c r="E55" s="1610"/>
      <c r="F55" s="1610"/>
      <c r="G55" s="1610"/>
      <c r="H55" s="1610"/>
      <c r="I55" s="1610"/>
      <c r="J55" s="1610"/>
    </row>
    <row r="56" spans="2:10">
      <c r="B56" s="1610" t="s">
        <v>424</v>
      </c>
      <c r="C56" s="1610"/>
      <c r="D56" s="1610"/>
      <c r="E56" s="1610"/>
      <c r="F56" s="1610"/>
      <c r="G56" s="1610"/>
      <c r="H56" s="1610"/>
      <c r="I56" s="1610"/>
      <c r="J56" s="1610"/>
    </row>
    <row r="57" spans="2:10">
      <c r="B57" s="94"/>
      <c r="C57" s="94"/>
      <c r="D57" s="94"/>
      <c r="E57" s="94"/>
      <c r="F57" s="94"/>
      <c r="G57" s="94"/>
      <c r="H57" s="94"/>
      <c r="I57" s="94"/>
      <c r="J57" s="94"/>
    </row>
    <row r="58" spans="2:10">
      <c r="B58" t="s">
        <v>425</v>
      </c>
      <c r="D58" s="1662" t="s">
        <v>745</v>
      </c>
      <c r="E58" s="1662"/>
      <c r="F58" s="1662"/>
      <c r="G58" s="116" t="s">
        <v>426</v>
      </c>
      <c r="H58" s="1662" t="s">
        <v>427</v>
      </c>
      <c r="I58" s="1662"/>
      <c r="J58" s="1662"/>
    </row>
    <row r="60" spans="2:10">
      <c r="B60" s="1645" t="s">
        <v>430</v>
      </c>
      <c r="C60" s="1640"/>
      <c r="D60" s="1640"/>
      <c r="E60" s="1640"/>
      <c r="I60" s="1641" t="s">
        <v>431</v>
      </c>
      <c r="J60" s="1641"/>
    </row>
    <row r="61" spans="2:10">
      <c r="B61" t="s">
        <v>432</v>
      </c>
    </row>
    <row r="62" spans="2:10">
      <c r="B62" s="116" t="s">
        <v>433</v>
      </c>
      <c r="C62" t="s">
        <v>434</v>
      </c>
      <c r="D62" s="119">
        <v>40</v>
      </c>
      <c r="E62" s="5" t="s">
        <v>435</v>
      </c>
      <c r="F62" s="119">
        <v>52</v>
      </c>
      <c r="G62" s="10"/>
    </row>
    <row r="63" spans="2:10">
      <c r="B63" s="116" t="s">
        <v>436</v>
      </c>
      <c r="C63" t="s">
        <v>437</v>
      </c>
      <c r="D63" s="120">
        <f>(D62*F62)</f>
        <v>2080</v>
      </c>
      <c r="E63" t="s">
        <v>438</v>
      </c>
      <c r="F63" s="317">
        <f>HOAssumptions!G39</f>
        <v>7.5</v>
      </c>
      <c r="I63" s="1663">
        <f>(D63*F63)</f>
        <v>15600</v>
      </c>
      <c r="J63" s="1663"/>
    </row>
    <row r="65" spans="2:10">
      <c r="B65" s="1640" t="s">
        <v>439</v>
      </c>
      <c r="C65" s="1640"/>
      <c r="D65" s="1640"/>
      <c r="E65" s="122">
        <v>6.2E-2</v>
      </c>
      <c r="F65" s="10" t="s">
        <v>440</v>
      </c>
      <c r="G65" s="123">
        <v>90000</v>
      </c>
      <c r="I65" s="1660">
        <f>IF(I63&lt;87900,E65*I63,E65*87900)</f>
        <v>967.2</v>
      </c>
      <c r="J65" s="1660"/>
    </row>
    <row r="66" spans="2:10">
      <c r="B66" s="1640" t="s">
        <v>441</v>
      </c>
      <c r="C66" s="1640"/>
      <c r="D66" s="1640"/>
      <c r="E66" s="122">
        <v>1.4500000000000001E-2</v>
      </c>
      <c r="F66" s="10"/>
      <c r="G66" s="124"/>
      <c r="I66" s="1640">
        <f>(E66*I63)</f>
        <v>226.20000000000002</v>
      </c>
      <c r="J66" s="1640"/>
    </row>
    <row r="68" spans="2:10">
      <c r="B68" s="1640" t="s">
        <v>442</v>
      </c>
      <c r="C68" s="1640"/>
      <c r="D68" s="1640"/>
    </row>
    <row r="69" spans="2:10">
      <c r="C69" s="125" t="s">
        <v>443</v>
      </c>
      <c r="D69" s="1657">
        <v>1.2E-2</v>
      </c>
      <c r="E69" s="1657"/>
      <c r="F69" s="10" t="s">
        <v>444</v>
      </c>
      <c r="G69" s="126">
        <v>16200</v>
      </c>
      <c r="I69" s="1659">
        <f>IF(I63&gt;16200,D69*16200,D69*I63)</f>
        <v>187.20000000000002</v>
      </c>
      <c r="J69" s="1659"/>
    </row>
    <row r="70" spans="2:10">
      <c r="C70" s="127" t="s">
        <v>445</v>
      </c>
      <c r="D70" s="1657">
        <v>8.0000000000000002E-3</v>
      </c>
      <c r="E70" s="1658"/>
      <c r="F70" s="10" t="s">
        <v>444</v>
      </c>
      <c r="G70" s="128">
        <v>7000</v>
      </c>
      <c r="I70" s="1659">
        <f>IF(I63&gt;7000,D70*7000,D70*I63)</f>
        <v>56</v>
      </c>
      <c r="J70" s="1659"/>
    </row>
    <row r="72" spans="2:10">
      <c r="B72" s="1640" t="s">
        <v>446</v>
      </c>
      <c r="C72" s="1640"/>
      <c r="D72" s="1640"/>
      <c r="E72" s="1640"/>
    </row>
    <row r="73" spans="2:10">
      <c r="C73" s="121">
        <v>3.79</v>
      </c>
      <c r="D73" s="1641" t="s">
        <v>447</v>
      </c>
      <c r="E73" s="1641"/>
      <c r="I73" s="1652">
        <f>((I63/100)*C73)</f>
        <v>591.24</v>
      </c>
      <c r="J73" s="1652"/>
    </row>
    <row r="74" spans="2:10" ht="13.5" thickBot="1"/>
    <row r="75" spans="2:10" ht="14.25" thickTop="1" thickBot="1">
      <c r="B75" s="1656" t="s">
        <v>448</v>
      </c>
      <c r="C75" s="1656"/>
      <c r="D75" s="1656"/>
      <c r="E75" s="1656"/>
      <c r="F75" s="1656"/>
      <c r="G75" s="1656"/>
      <c r="H75" s="87"/>
      <c r="I75" s="1654">
        <f>(I63+I65+I66+I69+I70+I73)</f>
        <v>17627.840000000004</v>
      </c>
      <c r="J75" s="1655"/>
    </row>
    <row r="76" spans="2:10" ht="13.5" thickTop="1"/>
    <row r="77" spans="2:10">
      <c r="B77" s="1645" t="s">
        <v>449</v>
      </c>
      <c r="C77" s="1645"/>
    </row>
    <row r="78" spans="2:10">
      <c r="B78" s="1640" t="s">
        <v>450</v>
      </c>
      <c r="C78" s="1640"/>
      <c r="D78" s="118"/>
      <c r="I78" s="1651">
        <v>0</v>
      </c>
      <c r="J78" s="1651"/>
    </row>
    <row r="79" spans="2:10">
      <c r="B79" s="1640" t="s">
        <v>451</v>
      </c>
      <c r="C79" s="1640"/>
    </row>
    <row r="80" spans="2:10">
      <c r="C80" s="118" t="s">
        <v>452</v>
      </c>
      <c r="D80" s="118"/>
      <c r="I80" s="1651">
        <v>0</v>
      </c>
      <c r="J80" s="1651"/>
    </row>
    <row r="81" spans="2:10">
      <c r="C81" s="118" t="s">
        <v>453</v>
      </c>
      <c r="I81" s="1651">
        <v>0</v>
      </c>
      <c r="J81" s="1651"/>
    </row>
    <row r="82" spans="2:10">
      <c r="C82" t="s">
        <v>454</v>
      </c>
      <c r="I82" s="1651">
        <v>0</v>
      </c>
      <c r="J82" s="1651"/>
    </row>
    <row r="83" spans="2:10">
      <c r="C83" t="s">
        <v>455</v>
      </c>
      <c r="I83" s="1651">
        <v>0</v>
      </c>
      <c r="J83" s="1651"/>
    </row>
    <row r="84" spans="2:10">
      <c r="C84" s="1640" t="s">
        <v>456</v>
      </c>
      <c r="D84" s="1640"/>
      <c r="I84" s="1651">
        <v>0</v>
      </c>
      <c r="J84" s="1651"/>
    </row>
    <row r="85" spans="2:10">
      <c r="C85" t="s">
        <v>457</v>
      </c>
      <c r="D85" s="1650"/>
      <c r="E85" s="1650"/>
      <c r="F85" s="1650"/>
      <c r="I85" s="1653">
        <v>0</v>
      </c>
      <c r="J85" s="1653"/>
    </row>
    <row r="86" spans="2:10">
      <c r="C86" t="s">
        <v>458</v>
      </c>
      <c r="D86" s="1650"/>
      <c r="E86" s="1650"/>
      <c r="F86" s="1650"/>
      <c r="I86" s="1651">
        <v>0</v>
      </c>
      <c r="J86" s="1651"/>
    </row>
    <row r="87" spans="2:10">
      <c r="C87" t="s">
        <v>459</v>
      </c>
      <c r="I87" s="1651">
        <f>SUM(I80:I86)</f>
        <v>0</v>
      </c>
      <c r="J87" s="1651"/>
    </row>
    <row r="88" spans="2:10">
      <c r="B88" s="1640" t="s">
        <v>460</v>
      </c>
      <c r="C88" s="1640"/>
      <c r="D88" s="1650"/>
      <c r="E88" s="1650"/>
      <c r="F88" s="1650"/>
      <c r="I88" s="1651">
        <v>0</v>
      </c>
      <c r="J88" s="1651"/>
    </row>
    <row r="89" spans="2:10">
      <c r="B89" s="1640" t="s">
        <v>461</v>
      </c>
      <c r="C89" s="1640"/>
      <c r="I89" s="1642">
        <v>0</v>
      </c>
      <c r="J89" s="1642"/>
    </row>
    <row r="90" spans="2:10">
      <c r="B90" s="1640" t="s">
        <v>462</v>
      </c>
      <c r="C90" s="1640"/>
      <c r="I90" s="1642">
        <v>0</v>
      </c>
      <c r="J90" s="1642"/>
    </row>
    <row r="91" spans="2:10">
      <c r="B91" s="1640" t="s">
        <v>463</v>
      </c>
      <c r="C91" s="1640"/>
      <c r="I91" s="1642">
        <v>0</v>
      </c>
      <c r="J91" s="1642"/>
    </row>
    <row r="92" spans="2:10">
      <c r="B92" s="1640" t="s">
        <v>464</v>
      </c>
      <c r="C92" s="1640"/>
      <c r="D92" s="1640"/>
      <c r="E92" s="1640"/>
      <c r="F92" s="1640"/>
      <c r="I92" s="1642">
        <v>0</v>
      </c>
      <c r="J92" s="1642"/>
    </row>
    <row r="93" spans="2:10">
      <c r="B93" s="1640" t="s">
        <v>465</v>
      </c>
      <c r="C93" s="1640"/>
      <c r="I93" s="1642">
        <v>0</v>
      </c>
      <c r="J93" s="1642"/>
    </row>
    <row r="94" spans="2:10">
      <c r="B94" t="s">
        <v>466</v>
      </c>
      <c r="C94" s="1646"/>
      <c r="D94" s="1646"/>
      <c r="E94" s="1646"/>
      <c r="F94" s="1646"/>
      <c r="I94" s="1642">
        <v>0</v>
      </c>
      <c r="J94" s="1642"/>
    </row>
    <row r="95" spans="2:10">
      <c r="B95" t="s">
        <v>467</v>
      </c>
      <c r="C95" s="1646"/>
      <c r="D95" s="1646"/>
      <c r="E95" s="1646"/>
      <c r="F95" s="1646"/>
      <c r="I95" s="1642">
        <v>0</v>
      </c>
      <c r="J95" s="1642"/>
    </row>
    <row r="96" spans="2:10">
      <c r="B96" t="s">
        <v>468</v>
      </c>
      <c r="C96" s="1646"/>
      <c r="D96" s="1646"/>
      <c r="E96" s="1646"/>
      <c r="F96" s="1646"/>
      <c r="I96" s="1642">
        <v>0</v>
      </c>
      <c r="J96" s="1642"/>
    </row>
    <row r="97" spans="2:10" ht="13.5" thickBot="1">
      <c r="B97" t="s">
        <v>469</v>
      </c>
      <c r="C97" s="1646"/>
      <c r="D97" s="1646"/>
      <c r="E97" s="1646"/>
      <c r="F97" s="1646"/>
      <c r="I97" s="1642">
        <v>0</v>
      </c>
      <c r="J97" s="1642"/>
    </row>
    <row r="98" spans="2:10" ht="13.5" thickTop="1">
      <c r="B98" s="1647" t="s">
        <v>470</v>
      </c>
      <c r="C98" s="1647"/>
      <c r="D98" s="1647"/>
      <c r="E98" s="1647"/>
      <c r="F98" s="1647"/>
      <c r="G98" s="129"/>
      <c r="H98" s="87"/>
      <c r="I98" s="1648">
        <f>(I78+I87+I88+I89+I90+I91+I92+I93+I94+I95+I96+I97)</f>
        <v>0</v>
      </c>
      <c r="J98" s="1649"/>
    </row>
    <row r="99" spans="2:10" ht="13.5" thickBot="1">
      <c r="B99" s="1639" t="s">
        <v>471</v>
      </c>
      <c r="C99" s="1639"/>
      <c r="D99" s="1639"/>
      <c r="E99" s="1639"/>
      <c r="F99" s="1639"/>
      <c r="G99" s="87"/>
      <c r="H99" s="87"/>
      <c r="I99" s="1643">
        <f>(I75+I98)</f>
        <v>17627.840000000004</v>
      </c>
      <c r="J99" s="1644"/>
    </row>
    <row r="100" spans="2:10" ht="13.5" thickTop="1">
      <c r="B100" s="1645" t="s">
        <v>472</v>
      </c>
      <c r="C100" s="1645"/>
      <c r="D100" s="1645"/>
      <c r="E100" s="118"/>
    </row>
    <row r="101" spans="2:10">
      <c r="B101" s="1640" t="s">
        <v>473</v>
      </c>
      <c r="C101" s="1640"/>
      <c r="D101" s="130">
        <v>0</v>
      </c>
      <c r="E101" s="1641" t="s">
        <v>474</v>
      </c>
      <c r="F101" s="1641"/>
      <c r="G101" s="50">
        <f>(D101*8)</f>
        <v>0</v>
      </c>
      <c r="H101" s="5" t="s">
        <v>475</v>
      </c>
      <c r="I101" s="5"/>
    </row>
    <row r="102" spans="2:10">
      <c r="B102" s="1640" t="s">
        <v>476</v>
      </c>
      <c r="C102" s="1640"/>
      <c r="D102" s="130">
        <v>0</v>
      </c>
      <c r="E102" s="1641" t="s">
        <v>474</v>
      </c>
      <c r="F102" s="1641"/>
      <c r="G102" s="50">
        <f>(D102*8)</f>
        <v>0</v>
      </c>
      <c r="H102" s="131" t="s">
        <v>475</v>
      </c>
    </row>
    <row r="103" spans="2:10">
      <c r="B103" s="1640" t="s">
        <v>477</v>
      </c>
      <c r="C103" s="1640"/>
      <c r="D103" s="130">
        <v>0</v>
      </c>
      <c r="E103" s="1641" t="s">
        <v>474</v>
      </c>
      <c r="F103" s="1641"/>
      <c r="G103" s="50">
        <f>(D103*8)</f>
        <v>0</v>
      </c>
      <c r="H103" s="131" t="s">
        <v>475</v>
      </c>
    </row>
    <row r="104" spans="2:10">
      <c r="B104" s="1640" t="s">
        <v>478</v>
      </c>
      <c r="C104" s="1640"/>
      <c r="D104" s="1640"/>
      <c r="E104" s="1640"/>
      <c r="G104" s="50">
        <f>(G101+G102+G103)</f>
        <v>0</v>
      </c>
      <c r="H104" s="5" t="s">
        <v>479</v>
      </c>
    </row>
    <row r="105" spans="2:10">
      <c r="B105" s="1640" t="s">
        <v>480</v>
      </c>
      <c r="C105" s="1640"/>
      <c r="D105" s="1640"/>
      <c r="G105" s="50">
        <f>(D63-G104)</f>
        <v>2080</v>
      </c>
    </row>
    <row r="106" spans="2:10" ht="13.5" thickBot="1">
      <c r="B106" s="118"/>
      <c r="C106" s="118"/>
      <c r="D106" s="118"/>
      <c r="G106" s="50"/>
    </row>
    <row r="107" spans="2:10" ht="14.25" thickTop="1" thickBot="1">
      <c r="B107" s="1639" t="s">
        <v>481</v>
      </c>
      <c r="C107" s="1639"/>
      <c r="D107" s="1639"/>
      <c r="E107" s="1639"/>
      <c r="F107" s="1639"/>
      <c r="G107" s="1639"/>
      <c r="H107" s="87"/>
      <c r="I107" s="1637">
        <f>(I99/G105)</f>
        <v>8.4749230769230781</v>
      </c>
      <c r="J107" s="1638"/>
    </row>
    <row r="108" spans="2:10" ht="13.5" thickTop="1"/>
  </sheetData>
  <sheetProtection password="A5F1" sheet="1" objects="1" scenarios="1"/>
  <mergeCells count="144">
    <mergeCell ref="I6:J6"/>
    <mergeCell ref="I63:J63"/>
    <mergeCell ref="I9:J9"/>
    <mergeCell ref="B55:J55"/>
    <mergeCell ref="B1:J1"/>
    <mergeCell ref="B56:J56"/>
    <mergeCell ref="B2:J2"/>
    <mergeCell ref="D58:F58"/>
    <mergeCell ref="H58:J58"/>
    <mergeCell ref="B11:D11"/>
    <mergeCell ref="D16:E16"/>
    <mergeCell ref="I16:J16"/>
    <mergeCell ref="B18:E18"/>
    <mergeCell ref="B68:D68"/>
    <mergeCell ref="I11:J11"/>
    <mergeCell ref="D4:F4"/>
    <mergeCell ref="H4:J4"/>
    <mergeCell ref="B6:E6"/>
    <mergeCell ref="B12:D12"/>
    <mergeCell ref="I12:J12"/>
    <mergeCell ref="I19:J19"/>
    <mergeCell ref="B66:D66"/>
    <mergeCell ref="B21:G21"/>
    <mergeCell ref="I21:J21"/>
    <mergeCell ref="B60:E60"/>
    <mergeCell ref="I60:J60"/>
    <mergeCell ref="B23:C23"/>
    <mergeCell ref="I66:J66"/>
    <mergeCell ref="B24:C24"/>
    <mergeCell ref="I24:J24"/>
    <mergeCell ref="B14:D14"/>
    <mergeCell ref="D69:E69"/>
    <mergeCell ref="I69:J69"/>
    <mergeCell ref="D15:E15"/>
    <mergeCell ref="I15:J15"/>
    <mergeCell ref="D19:E19"/>
    <mergeCell ref="B25:C25"/>
    <mergeCell ref="I26:J26"/>
    <mergeCell ref="C40:F40"/>
    <mergeCell ref="I40:J40"/>
    <mergeCell ref="I31:J31"/>
    <mergeCell ref="I34:J34"/>
    <mergeCell ref="D70:E70"/>
    <mergeCell ref="I70:J70"/>
    <mergeCell ref="B65:D65"/>
    <mergeCell ref="I65:J65"/>
    <mergeCell ref="I39:J39"/>
    <mergeCell ref="B35:C35"/>
    <mergeCell ref="I35:J35"/>
    <mergeCell ref="B36:C36"/>
    <mergeCell ref="I27:J27"/>
    <mergeCell ref="B77:C77"/>
    <mergeCell ref="I28:J28"/>
    <mergeCell ref="B78:C78"/>
    <mergeCell ref="I78:J78"/>
    <mergeCell ref="D32:F32"/>
    <mergeCell ref="I32:J32"/>
    <mergeCell ref="D73:E73"/>
    <mergeCell ref="I33:J33"/>
    <mergeCell ref="B75:G75"/>
    <mergeCell ref="I29:J29"/>
    <mergeCell ref="C30:D30"/>
    <mergeCell ref="I30:J30"/>
    <mergeCell ref="B79:C79"/>
    <mergeCell ref="D31:F31"/>
    <mergeCell ref="B34:C34"/>
    <mergeCell ref="D34:F34"/>
    <mergeCell ref="I38:J38"/>
    <mergeCell ref="I75:J75"/>
    <mergeCell ref="B72:E72"/>
    <mergeCell ref="I36:J36"/>
    <mergeCell ref="I82:J82"/>
    <mergeCell ref="B39:C39"/>
    <mergeCell ref="I83:J83"/>
    <mergeCell ref="I80:J80"/>
    <mergeCell ref="B37:C37"/>
    <mergeCell ref="I37:J37"/>
    <mergeCell ref="B38:F38"/>
    <mergeCell ref="C41:F41"/>
    <mergeCell ref="I41:J41"/>
    <mergeCell ref="I85:J85"/>
    <mergeCell ref="I81:J81"/>
    <mergeCell ref="C42:F42"/>
    <mergeCell ref="I42:J42"/>
    <mergeCell ref="C84:D84"/>
    <mergeCell ref="I84:J84"/>
    <mergeCell ref="C43:F43"/>
    <mergeCell ref="I43:J43"/>
    <mergeCell ref="I87:J87"/>
    <mergeCell ref="B44:F44"/>
    <mergeCell ref="I44:J44"/>
    <mergeCell ref="D86:F86"/>
    <mergeCell ref="I86:J86"/>
    <mergeCell ref="I88:J88"/>
    <mergeCell ref="I73:J73"/>
    <mergeCell ref="B45:F45"/>
    <mergeCell ref="I45:J45"/>
    <mergeCell ref="D85:F85"/>
    <mergeCell ref="B90:C90"/>
    <mergeCell ref="I90:J90"/>
    <mergeCell ref="B89:C89"/>
    <mergeCell ref="I89:J89"/>
    <mergeCell ref="B88:C88"/>
    <mergeCell ref="D88:F88"/>
    <mergeCell ref="I94:J94"/>
    <mergeCell ref="B46:D46"/>
    <mergeCell ref="B93:C93"/>
    <mergeCell ref="I93:J93"/>
    <mergeCell ref="B47:C47"/>
    <mergeCell ref="E47:F47"/>
    <mergeCell ref="B92:F92"/>
    <mergeCell ref="I92:J92"/>
    <mergeCell ref="B91:C91"/>
    <mergeCell ref="I91:J91"/>
    <mergeCell ref="I98:J98"/>
    <mergeCell ref="C96:F96"/>
    <mergeCell ref="I96:J96"/>
    <mergeCell ref="B48:C48"/>
    <mergeCell ref="E48:F48"/>
    <mergeCell ref="C95:F95"/>
    <mergeCell ref="I95:J95"/>
    <mergeCell ref="B49:C49"/>
    <mergeCell ref="E49:F49"/>
    <mergeCell ref="C94:F94"/>
    <mergeCell ref="B100:D100"/>
    <mergeCell ref="B50:E50"/>
    <mergeCell ref="B101:C101"/>
    <mergeCell ref="E101:F101"/>
    <mergeCell ref="C97:F97"/>
    <mergeCell ref="B107:G107"/>
    <mergeCell ref="B51:D51"/>
    <mergeCell ref="B102:C102"/>
    <mergeCell ref="E102:F102"/>
    <mergeCell ref="B98:F98"/>
    <mergeCell ref="I107:J107"/>
    <mergeCell ref="B53:G53"/>
    <mergeCell ref="I53:J53"/>
    <mergeCell ref="B103:C103"/>
    <mergeCell ref="E103:F103"/>
    <mergeCell ref="B99:F99"/>
    <mergeCell ref="I97:J97"/>
    <mergeCell ref="I99:J99"/>
    <mergeCell ref="B104:E104"/>
    <mergeCell ref="B105:D105"/>
  </mergeCells>
  <phoneticPr fontId="6" type="noConversion"/>
  <pageMargins left="0.7" right="0.7" top="0.75" bottom="0.75" header="0.3" footer="0.3"/>
  <pageSetup orientation="portrait" horizontalDpi="200" verticalDpi="200"/>
</worksheet>
</file>

<file path=xl/worksheets/sheet15.xml><?xml version="1.0" encoding="utf-8"?>
<worksheet xmlns="http://schemas.openxmlformats.org/spreadsheetml/2006/main" xmlns:r="http://schemas.openxmlformats.org/officeDocument/2006/relationships">
  <sheetPr codeName="Sheet3" enableFormatConditionsCalculation="0">
    <tabColor theme="3" tint="0.39997558519241921"/>
    <pageSetUpPr fitToPage="1"/>
  </sheetPr>
  <dimension ref="A1:R60"/>
  <sheetViews>
    <sheetView topLeftCell="A4" zoomScaleNormal="100" workbookViewId="0">
      <pane ySplit="765" activePane="bottomLeft"/>
      <selection activeCell="G57" sqref="G57"/>
      <selection pane="bottomLeft" activeCell="G57" sqref="G57"/>
    </sheetView>
  </sheetViews>
  <sheetFormatPr defaultColWidth="8.85546875" defaultRowHeight="12.75"/>
  <cols>
    <col min="1" max="1" width="7.42578125" style="764" customWidth="1"/>
    <col min="2" max="2" width="4.85546875" style="764" customWidth="1"/>
    <col min="3" max="3" width="5.7109375" style="764" customWidth="1"/>
    <col min="4" max="4" width="4.85546875" style="764" customWidth="1"/>
    <col min="5" max="5" width="5.42578125" style="764" customWidth="1"/>
    <col min="6" max="6" width="26.140625" style="764" customWidth="1"/>
    <col min="7" max="7" width="9" style="764" customWidth="1"/>
    <col min="8" max="8" width="8.42578125" style="1270" customWidth="1"/>
    <col min="9" max="9" width="10.7109375" style="1270" customWidth="1"/>
    <col min="10" max="10" width="11.7109375" style="1270" customWidth="1"/>
    <col min="11" max="11" width="13" style="764" customWidth="1"/>
    <col min="12" max="12" width="10.140625" style="764" customWidth="1"/>
    <col min="13" max="13" width="15" style="1270" customWidth="1"/>
    <col min="14" max="14" width="12.7109375" style="764" customWidth="1"/>
    <col min="15" max="15" width="9.7109375" style="764" customWidth="1"/>
    <col min="16" max="16" width="11.42578125" style="764" customWidth="1"/>
    <col min="17" max="17" width="9.7109375" style="764" customWidth="1"/>
    <col min="18" max="18" width="13.42578125" style="764" customWidth="1"/>
    <col min="19" max="16384" width="8.85546875" style="764"/>
  </cols>
  <sheetData>
    <row r="1" spans="1:18">
      <c r="A1" s="3" t="s">
        <v>65</v>
      </c>
      <c r="B1" s="916"/>
      <c r="C1" s="916"/>
      <c r="D1" s="916"/>
      <c r="E1" s="916"/>
      <c r="F1" s="916"/>
      <c r="G1" s="916"/>
      <c r="H1" s="1141"/>
      <c r="I1" s="1141"/>
      <c r="J1" s="1141"/>
      <c r="K1" s="916"/>
      <c r="L1" s="916"/>
      <c r="M1" s="1141"/>
      <c r="N1" s="916"/>
      <c r="O1" s="916"/>
      <c r="P1" s="916"/>
      <c r="Q1" s="916"/>
      <c r="R1" s="916"/>
    </row>
    <row r="2" spans="1:18" ht="13.5" thickBot="1">
      <c r="A2" s="3" t="s">
        <v>7</v>
      </c>
      <c r="B2" s="916"/>
      <c r="C2" s="916"/>
      <c r="D2" s="916"/>
      <c r="E2" s="916"/>
      <c r="F2" s="3" t="s">
        <v>7</v>
      </c>
      <c r="G2" s="916"/>
      <c r="H2" s="1141"/>
      <c r="I2" s="1141"/>
      <c r="J2" s="1141"/>
      <c r="K2" s="916"/>
      <c r="L2" s="816"/>
      <c r="M2" s="1141" t="s">
        <v>7</v>
      </c>
      <c r="N2" s="916"/>
      <c r="O2" s="916"/>
      <c r="P2" s="916"/>
      <c r="Q2" s="916"/>
      <c r="R2" s="916"/>
    </row>
    <row r="3" spans="1:18" ht="39" thickTop="1">
      <c r="A3" s="1142" t="s">
        <v>8</v>
      </c>
      <c r="B3" s="1143" t="s">
        <v>9</v>
      </c>
      <c r="C3" s="1144" t="s">
        <v>66</v>
      </c>
      <c r="D3" s="1144"/>
      <c r="E3" s="1144"/>
      <c r="F3" s="1144"/>
      <c r="G3" s="1145"/>
      <c r="H3" s="1143" t="s">
        <v>144</v>
      </c>
      <c r="I3" s="1146"/>
      <c r="J3" s="1144"/>
      <c r="K3" s="1147" t="s">
        <v>11</v>
      </c>
      <c r="L3" s="1143"/>
      <c r="M3" s="1147"/>
      <c r="N3" s="1148"/>
      <c r="O3" s="1143" t="s">
        <v>12</v>
      </c>
      <c r="P3" s="1149"/>
      <c r="Q3" s="1143" t="s">
        <v>13</v>
      </c>
      <c r="R3" s="1150" t="s">
        <v>14</v>
      </c>
    </row>
    <row r="4" spans="1:18" ht="12.75" customHeight="1" thickBot="1">
      <c r="A4" s="1151"/>
      <c r="B4" s="1152"/>
      <c r="C4" s="1153" t="s">
        <v>67</v>
      </c>
      <c r="D4" s="1153"/>
      <c r="E4" s="1153"/>
      <c r="F4" s="1152"/>
      <c r="G4" s="1154" t="s">
        <v>15</v>
      </c>
      <c r="H4" s="1155" t="s">
        <v>16</v>
      </c>
      <c r="I4" s="1156" t="s">
        <v>17</v>
      </c>
      <c r="J4" s="1155" t="s">
        <v>18</v>
      </c>
      <c r="K4" s="1152" t="s">
        <v>19</v>
      </c>
      <c r="L4" s="1152" t="s">
        <v>267</v>
      </c>
      <c r="M4" s="1155" t="s">
        <v>21</v>
      </c>
      <c r="N4" s="1154" t="s">
        <v>15</v>
      </c>
      <c r="O4" s="1152" t="s">
        <v>16</v>
      </c>
      <c r="P4" s="1157" t="s">
        <v>22</v>
      </c>
      <c r="Q4" s="1152" t="s">
        <v>23</v>
      </c>
      <c r="R4" s="1158" t="s">
        <v>23</v>
      </c>
    </row>
    <row r="5" spans="1:18" ht="13.5" thickBot="1">
      <c r="A5" s="1052" t="s">
        <v>56</v>
      </c>
      <c r="B5" s="1159"/>
      <c r="C5" s="1160"/>
      <c r="D5" s="1161"/>
      <c r="E5" s="1161"/>
      <c r="F5" s="1159"/>
      <c r="G5" s="1162"/>
      <c r="H5" s="1163"/>
      <c r="I5" s="1164"/>
      <c r="J5" s="1163"/>
      <c r="K5" s="1165"/>
      <c r="L5" s="1165"/>
      <c r="M5" s="1163"/>
      <c r="N5" s="1162"/>
      <c r="O5" s="1165"/>
      <c r="P5" s="1166"/>
      <c r="Q5" s="1161"/>
      <c r="R5" s="1167"/>
    </row>
    <row r="6" spans="1:18" ht="13.5" thickBot="1">
      <c r="A6" s="1168" t="s">
        <v>69</v>
      </c>
      <c r="B6" s="1094"/>
      <c r="C6" s="1094"/>
      <c r="D6" s="1094"/>
      <c r="E6" s="1094"/>
      <c r="F6" s="1094"/>
      <c r="G6" s="1169"/>
      <c r="H6" s="1170"/>
      <c r="I6" s="1171"/>
      <c r="J6" s="1170"/>
      <c r="K6" s="1172"/>
      <c r="L6" s="1095"/>
      <c r="M6" s="1170"/>
      <c r="N6" s="1169"/>
      <c r="O6" s="1173"/>
      <c r="P6" s="1174"/>
      <c r="Q6" s="1173"/>
      <c r="R6" s="1175" t="s">
        <v>69</v>
      </c>
    </row>
    <row r="7" spans="1:18" ht="13.5" thickBot="1">
      <c r="A7" s="1176"/>
      <c r="B7" s="1177">
        <v>100</v>
      </c>
      <c r="C7" s="816" t="s">
        <v>68</v>
      </c>
      <c r="D7" s="816"/>
      <c r="E7" s="816"/>
      <c r="F7" s="1178"/>
      <c r="G7" s="1179"/>
      <c r="H7" s="1180"/>
      <c r="I7" s="1181"/>
      <c r="J7" s="1182">
        <f>Materials!D70</f>
        <v>25</v>
      </c>
      <c r="K7" s="1183"/>
      <c r="L7" s="1183">
        <v>1</v>
      </c>
      <c r="M7" s="1184">
        <f>J7*L7</f>
        <v>25</v>
      </c>
      <c r="N7" s="1273">
        <v>4.8</v>
      </c>
      <c r="O7" s="1185">
        <f>Labor!I107</f>
        <v>8.4749230769230781</v>
      </c>
      <c r="P7" s="1186">
        <f>N7*O7</f>
        <v>40.679630769230776</v>
      </c>
      <c r="Q7" s="1187">
        <f>M7+P7</f>
        <v>65.679630769230783</v>
      </c>
      <c r="R7" s="1188"/>
    </row>
    <row r="8" spans="1:18" ht="13.5" thickBot="1">
      <c r="A8" s="1189" t="s">
        <v>74</v>
      </c>
      <c r="B8" s="1190"/>
      <c r="C8" s="1110"/>
      <c r="D8" s="1110"/>
      <c r="E8" s="1110"/>
      <c r="F8" s="1112"/>
      <c r="G8" s="1191"/>
      <c r="H8" s="1192"/>
      <c r="I8" s="1193"/>
      <c r="J8" s="1194"/>
      <c r="K8" s="1195"/>
      <c r="L8" s="1195"/>
      <c r="M8" s="1193">
        <f>M7</f>
        <v>25</v>
      </c>
      <c r="N8" s="1196">
        <f>N7</f>
        <v>4.8</v>
      </c>
      <c r="O8" s="1195"/>
      <c r="P8" s="1197">
        <f>P7</f>
        <v>40.679630769230776</v>
      </c>
      <c r="Q8" s="1198">
        <f>M8+P8</f>
        <v>65.679630769230783</v>
      </c>
      <c r="R8" s="1199">
        <f>Q8</f>
        <v>65.679630769230783</v>
      </c>
    </row>
    <row r="9" spans="1:18" ht="13.5" thickBot="1">
      <c r="A9" s="1168" t="s">
        <v>57</v>
      </c>
      <c r="B9" s="1094"/>
      <c r="C9" s="1094"/>
      <c r="D9" s="1094"/>
      <c r="E9" s="1094"/>
      <c r="F9" s="1094"/>
      <c r="G9" s="1200"/>
      <c r="H9" s="1201"/>
      <c r="I9" s="1202"/>
      <c r="J9" s="1203"/>
      <c r="K9" s="1204"/>
      <c r="L9" s="1205"/>
      <c r="M9" s="1202"/>
      <c r="N9" s="1200"/>
      <c r="O9" s="1206"/>
      <c r="P9" s="1207"/>
      <c r="Q9" s="1206"/>
      <c r="R9" s="1208" t="s">
        <v>57</v>
      </c>
    </row>
    <row r="10" spans="1:18">
      <c r="A10" s="1176"/>
      <c r="B10" s="1177">
        <v>101</v>
      </c>
      <c r="C10" s="816" t="s">
        <v>24</v>
      </c>
      <c r="D10" s="816"/>
      <c r="E10" s="816"/>
      <c r="F10" s="1178" t="s">
        <v>25</v>
      </c>
      <c r="G10" s="1209"/>
      <c r="H10" s="1210"/>
      <c r="I10" s="1211"/>
      <c r="J10" s="1212">
        <f>Materials!F71</f>
        <v>6</v>
      </c>
      <c r="K10" s="1213" t="s">
        <v>300</v>
      </c>
      <c r="L10" s="1214">
        <v>1</v>
      </c>
      <c r="M10" s="1211">
        <f>+L10*J10</f>
        <v>6</v>
      </c>
      <c r="N10" s="1209"/>
      <c r="O10" s="1215"/>
      <c r="P10" s="1216"/>
      <c r="Q10" s="1217">
        <f>$P10+$M10+$I10</f>
        <v>6</v>
      </c>
      <c r="R10" s="1188"/>
    </row>
    <row r="11" spans="1:18">
      <c r="A11" s="1218"/>
      <c r="B11" s="1219">
        <v>102</v>
      </c>
      <c r="C11" s="816" t="s">
        <v>30</v>
      </c>
      <c r="D11" s="816"/>
      <c r="E11" s="816"/>
      <c r="F11" s="1178" t="s">
        <v>31</v>
      </c>
      <c r="G11" s="1209" t="s">
        <v>7</v>
      </c>
      <c r="H11" s="1210" t="s">
        <v>7</v>
      </c>
      <c r="I11" s="1211">
        <v>0</v>
      </c>
      <c r="J11" s="1212"/>
      <c r="K11" s="1213"/>
      <c r="L11" s="1214"/>
      <c r="M11" s="1211"/>
      <c r="N11" s="1272">
        <v>0.5</v>
      </c>
      <c r="O11" s="1220">
        <f>Labor!I107</f>
        <v>8.4749230769230781</v>
      </c>
      <c r="P11" s="1216">
        <f>N11*O11</f>
        <v>4.2374615384615391</v>
      </c>
      <c r="Q11" s="1217">
        <f>$P11+$M11+$I11</f>
        <v>4.2374615384615391</v>
      </c>
      <c r="R11" s="1221"/>
    </row>
    <row r="12" spans="1:18" ht="13.5" thickBot="1">
      <c r="A12" s="1222"/>
      <c r="B12" s="1223">
        <v>103</v>
      </c>
      <c r="C12" s="787" t="s">
        <v>70</v>
      </c>
      <c r="D12" s="816"/>
      <c r="E12" s="816"/>
      <c r="F12" s="1178"/>
      <c r="G12" s="1209"/>
      <c r="H12" s="1210"/>
      <c r="I12" s="1211"/>
      <c r="J12" s="1212">
        <v>2</v>
      </c>
      <c r="K12" s="1213" t="s">
        <v>285</v>
      </c>
      <c r="L12" s="1214">
        <v>1</v>
      </c>
      <c r="M12" s="1216">
        <f>J12*L12</f>
        <v>2</v>
      </c>
      <c r="N12" s="1272">
        <v>0.5</v>
      </c>
      <c r="O12" s="1220">
        <f>Labor!I107</f>
        <v>8.4749230769230781</v>
      </c>
      <c r="P12" s="1216">
        <f>N12*O12</f>
        <v>4.2374615384615391</v>
      </c>
      <c r="Q12" s="1217">
        <f>$P12+$M12+$I12</f>
        <v>6.2374615384615391</v>
      </c>
      <c r="R12" s="1221"/>
    </row>
    <row r="13" spans="1:18" ht="13.5" thickBot="1">
      <c r="A13" s="1189" t="s">
        <v>58</v>
      </c>
      <c r="B13" s="1190"/>
      <c r="C13" s="1110"/>
      <c r="D13" s="1110"/>
      <c r="E13" s="1110"/>
      <c r="F13" s="1112"/>
      <c r="G13" s="1191"/>
      <c r="H13" s="1192"/>
      <c r="I13" s="1193">
        <f>SUM(I10:I12)</f>
        <v>0</v>
      </c>
      <c r="J13" s="1194"/>
      <c r="K13" s="1195"/>
      <c r="L13" s="1195"/>
      <c r="M13" s="1193">
        <f>M10+M12</f>
        <v>8</v>
      </c>
      <c r="N13" s="1224">
        <v>1</v>
      </c>
      <c r="O13" s="1195"/>
      <c r="P13" s="1197">
        <f>SUM(P11:P12)</f>
        <v>8.4749230769230781</v>
      </c>
      <c r="Q13" s="1198">
        <f>SUM(Q$10:Q$12)</f>
        <v>16.474923076923076</v>
      </c>
      <c r="R13" s="1199">
        <f>Q13</f>
        <v>16.474923076923076</v>
      </c>
    </row>
    <row r="14" spans="1:18" ht="13.5" thickBot="1">
      <c r="A14" s="1168" t="s">
        <v>28</v>
      </c>
      <c r="B14" s="1225"/>
      <c r="C14" s="1094"/>
      <c r="D14" s="1094"/>
      <c r="E14" s="1094"/>
      <c r="F14" s="1205"/>
      <c r="G14" s="1226"/>
      <c r="H14" s="1201"/>
      <c r="I14" s="1202"/>
      <c r="J14" s="1203"/>
      <c r="K14" s="1204"/>
      <c r="L14" s="1205"/>
      <c r="M14" s="1202"/>
      <c r="N14" s="1200"/>
      <c r="O14" s="1206"/>
      <c r="P14" s="1227"/>
      <c r="Q14" s="1228"/>
      <c r="R14" s="1208" t="s">
        <v>28</v>
      </c>
    </row>
    <row r="15" spans="1:18">
      <c r="A15" s="1176"/>
      <c r="B15" s="1177">
        <v>101</v>
      </c>
      <c r="C15" s="816" t="s">
        <v>24</v>
      </c>
      <c r="D15" s="816"/>
      <c r="E15" s="816"/>
      <c r="F15" s="1178" t="s">
        <v>25</v>
      </c>
      <c r="G15" s="1209"/>
      <c r="H15" s="1210"/>
      <c r="I15" s="1211"/>
      <c r="J15" s="1212">
        <f>Materials!F71</f>
        <v>6</v>
      </c>
      <c r="K15" s="1213" t="s">
        <v>286</v>
      </c>
      <c r="L15" s="1214">
        <v>1</v>
      </c>
      <c r="M15" s="1211">
        <f>+L15*J15</f>
        <v>6</v>
      </c>
      <c r="N15" s="1209"/>
      <c r="O15" s="1215"/>
      <c r="P15" s="1216"/>
      <c r="Q15" s="1217">
        <f t="shared" ref="Q15:Q24" si="0">$P15+$M15+$I15</f>
        <v>6</v>
      </c>
      <c r="R15" s="1188"/>
    </row>
    <row r="16" spans="1:18">
      <c r="A16" s="1218"/>
      <c r="B16" s="1219">
        <v>104</v>
      </c>
      <c r="C16" s="816" t="s">
        <v>6</v>
      </c>
      <c r="D16" s="816"/>
      <c r="E16" s="816"/>
      <c r="F16" s="1178"/>
      <c r="G16" s="1209"/>
      <c r="H16" s="1210"/>
      <c r="I16" s="1211"/>
      <c r="J16" s="1212"/>
      <c r="K16" s="1213"/>
      <c r="L16" s="1214"/>
      <c r="M16" s="1211"/>
      <c r="N16" s="1272">
        <v>24</v>
      </c>
      <c r="O16" s="1220">
        <f>Labor!I107</f>
        <v>8.4749230769230781</v>
      </c>
      <c r="P16" s="1216">
        <f>+$O16*$N16</f>
        <v>203.39815384615389</v>
      </c>
      <c r="Q16" s="1217">
        <f t="shared" si="0"/>
        <v>203.39815384615389</v>
      </c>
      <c r="R16" s="1188"/>
    </row>
    <row r="17" spans="1:18">
      <c r="A17" s="1218"/>
      <c r="B17" s="1219">
        <v>105</v>
      </c>
      <c r="C17" s="816" t="s">
        <v>32</v>
      </c>
      <c r="D17" s="816"/>
      <c r="E17" s="816"/>
      <c r="F17" s="1178" t="s">
        <v>230</v>
      </c>
      <c r="G17" s="1272">
        <v>0.41699999999999998</v>
      </c>
      <c r="H17" s="1210">
        <f>Machinery!U5+Machinery!U6</f>
        <v>14.084135823</v>
      </c>
      <c r="I17" s="1211">
        <f>G17*H17</f>
        <v>5.873084638191</v>
      </c>
      <c r="J17" s="1212"/>
      <c r="K17" s="917"/>
      <c r="L17" s="917"/>
      <c r="M17" s="1211"/>
      <c r="N17" s="1209">
        <f>G17*1.2</f>
        <v>0.50039999999999996</v>
      </c>
      <c r="O17" s="1220">
        <f>Labor!I107</f>
        <v>8.4749230769230781</v>
      </c>
      <c r="P17" s="1216">
        <f>+$O17*$N17</f>
        <v>4.2408515076923079</v>
      </c>
      <c r="Q17" s="1217">
        <f t="shared" si="0"/>
        <v>10.113936145883308</v>
      </c>
      <c r="R17" s="1188"/>
    </row>
    <row r="18" spans="1:18">
      <c r="A18" s="1218"/>
      <c r="B18" s="1219"/>
      <c r="C18" s="816"/>
      <c r="D18" s="816" t="s">
        <v>291</v>
      </c>
      <c r="E18" s="816"/>
      <c r="F18" s="1178"/>
      <c r="G18" s="1209"/>
      <c r="H18" s="1210"/>
      <c r="I18" s="1211"/>
      <c r="J18" s="1212">
        <f>Materials!E19</f>
        <v>5.25</v>
      </c>
      <c r="K18" s="1213" t="s">
        <v>26</v>
      </c>
      <c r="L18" s="1214">
        <v>3</v>
      </c>
      <c r="M18" s="1211">
        <f>J18*L18</f>
        <v>15.75</v>
      </c>
      <c r="N18" s="1209"/>
      <c r="O18" s="1215"/>
      <c r="P18" s="1216"/>
      <c r="Q18" s="1217">
        <f t="shared" si="0"/>
        <v>15.75</v>
      </c>
      <c r="R18" s="1188"/>
    </row>
    <row r="19" spans="1:18">
      <c r="A19" s="1218"/>
      <c r="B19" s="1219">
        <f>$B17+1</f>
        <v>106</v>
      </c>
      <c r="C19" s="816" t="s">
        <v>33</v>
      </c>
      <c r="D19" s="816"/>
      <c r="E19" s="816"/>
      <c r="F19" s="1178" t="s">
        <v>215</v>
      </c>
      <c r="G19" s="1272">
        <v>1.1000000000000001</v>
      </c>
      <c r="H19" s="1210">
        <f>Machinery!U5+Machinery!U10</f>
        <v>15.200606248000001</v>
      </c>
      <c r="I19" s="1211">
        <f>G19*H19</f>
        <v>16.720666872800003</v>
      </c>
      <c r="J19" s="1212"/>
      <c r="K19" s="1213"/>
      <c r="L19" s="1214"/>
      <c r="M19" s="1211"/>
      <c r="N19" s="1209">
        <f>+$G19*1.2</f>
        <v>1.32</v>
      </c>
      <c r="O19" s="1220">
        <f>Labor!I107</f>
        <v>8.4749230769230781</v>
      </c>
      <c r="P19" s="1216">
        <f>+$O19*$N19</f>
        <v>11.186898461538464</v>
      </c>
      <c r="Q19" s="1217">
        <f t="shared" si="0"/>
        <v>27.907565334338464</v>
      </c>
      <c r="R19" s="1188"/>
    </row>
    <row r="20" spans="1:18">
      <c r="A20" s="1218"/>
      <c r="B20" s="1219">
        <f>$B19+1</f>
        <v>107</v>
      </c>
      <c r="C20" s="816" t="s">
        <v>34</v>
      </c>
      <c r="D20" s="816"/>
      <c r="E20" s="816"/>
      <c r="F20" s="1178" t="s">
        <v>36</v>
      </c>
      <c r="G20" s="1272">
        <v>0.55000000000000004</v>
      </c>
      <c r="H20" s="1210">
        <f>Machinery!U5+Machinery!U11</f>
        <v>16.050654248000001</v>
      </c>
      <c r="I20" s="1211">
        <f>G20*H20</f>
        <v>8.8278598364000018</v>
      </c>
      <c r="J20" s="1212"/>
      <c r="K20" s="1213"/>
      <c r="L20" s="1214"/>
      <c r="M20" s="1211"/>
      <c r="N20" s="1209">
        <f>+$G20*1.2</f>
        <v>0.66</v>
      </c>
      <c r="O20" s="1220">
        <f>Labor!I107</f>
        <v>8.4749230769230781</v>
      </c>
      <c r="P20" s="1216">
        <f>+$O20*$N20</f>
        <v>5.5934492307692318</v>
      </c>
      <c r="Q20" s="1217">
        <f t="shared" si="0"/>
        <v>14.421309067169233</v>
      </c>
      <c r="R20" s="1188"/>
    </row>
    <row r="21" spans="1:18">
      <c r="A21" s="1218"/>
      <c r="B21" s="1219">
        <v>107</v>
      </c>
      <c r="C21" s="816" t="s">
        <v>59</v>
      </c>
      <c r="D21" s="816"/>
      <c r="E21" s="816"/>
      <c r="F21" s="1178" t="s">
        <v>86</v>
      </c>
      <c r="G21" s="1272">
        <v>0.35</v>
      </c>
      <c r="H21" s="1210">
        <f>Machinery!U5</f>
        <v>13.365534248000001</v>
      </c>
      <c r="I21" s="1211">
        <f>G21*H21</f>
        <v>4.6779369867999998</v>
      </c>
      <c r="J21" s="1212">
        <f>Materials!D68</f>
        <v>35</v>
      </c>
      <c r="K21" s="1213" t="s">
        <v>60</v>
      </c>
      <c r="L21" s="1214">
        <v>0.4</v>
      </c>
      <c r="M21" s="1211">
        <f>J21*L21</f>
        <v>14</v>
      </c>
      <c r="N21" s="1209">
        <f>+$G21*1.2</f>
        <v>0.42</v>
      </c>
      <c r="O21" s="1220">
        <f>Labor!I107</f>
        <v>8.4749230769230781</v>
      </c>
      <c r="P21" s="1216">
        <f>+$O21*$N21</f>
        <v>3.5594676923076927</v>
      </c>
      <c r="Q21" s="1217">
        <f t="shared" si="0"/>
        <v>22.237404679107691</v>
      </c>
      <c r="R21" s="1188"/>
    </row>
    <row r="22" spans="1:18">
      <c r="A22" s="1218"/>
      <c r="B22" s="1219">
        <v>108</v>
      </c>
      <c r="C22" s="816" t="s">
        <v>35</v>
      </c>
      <c r="D22" s="816"/>
      <c r="E22" s="816"/>
      <c r="F22" s="1178" t="s">
        <v>216</v>
      </c>
      <c r="G22" s="1272">
        <v>0.35</v>
      </c>
      <c r="H22" s="1210">
        <f>Machinery!U5</f>
        <v>13.365534248000001</v>
      </c>
      <c r="I22" s="1211">
        <f>G22*H22</f>
        <v>4.6779369867999998</v>
      </c>
      <c r="J22" s="1212"/>
      <c r="K22" s="1213"/>
      <c r="L22" s="1214"/>
      <c r="M22" s="1211"/>
      <c r="N22" s="1209">
        <f>+$G22*1.2</f>
        <v>0.42</v>
      </c>
      <c r="O22" s="1220">
        <f>Labor!I107</f>
        <v>8.4749230769230781</v>
      </c>
      <c r="P22" s="1216">
        <f>+$O22*$N22</f>
        <v>3.5594676923076927</v>
      </c>
      <c r="Q22" s="1217">
        <f t="shared" si="0"/>
        <v>8.2374046791076925</v>
      </c>
      <c r="R22" s="1188"/>
    </row>
    <row r="23" spans="1:18">
      <c r="A23" s="1218"/>
      <c r="B23" s="1219">
        <v>1080</v>
      </c>
      <c r="C23" s="816"/>
      <c r="D23" s="816" t="s">
        <v>61</v>
      </c>
      <c r="E23" s="816"/>
      <c r="F23" s="1178"/>
      <c r="G23" s="1209"/>
      <c r="H23" s="1210"/>
      <c r="I23" s="1211"/>
      <c r="J23" s="1212">
        <f>Materials!D10</f>
        <v>1.98</v>
      </c>
      <c r="K23" s="1213" t="s">
        <v>62</v>
      </c>
      <c r="L23" s="1214">
        <v>1</v>
      </c>
      <c r="M23" s="1211">
        <f>J23*L23</f>
        <v>1.98</v>
      </c>
      <c r="N23" s="1209"/>
      <c r="O23" s="1215"/>
      <c r="P23" s="1216"/>
      <c r="Q23" s="1217">
        <f t="shared" si="0"/>
        <v>1.98</v>
      </c>
      <c r="R23" s="1188"/>
    </row>
    <row r="24" spans="1:18" ht="13.5" thickBot="1">
      <c r="A24" s="1218"/>
      <c r="B24" s="1219">
        <v>1081</v>
      </c>
      <c r="C24" s="816"/>
      <c r="D24" s="816" t="s">
        <v>63</v>
      </c>
      <c r="E24" s="816"/>
      <c r="F24" s="1178"/>
      <c r="G24" s="1209"/>
      <c r="H24" s="1210"/>
      <c r="I24" s="1211"/>
      <c r="J24" s="1212">
        <v>0.1</v>
      </c>
      <c r="K24" s="1213" t="s">
        <v>60</v>
      </c>
      <c r="L24" s="1214">
        <v>100</v>
      </c>
      <c r="M24" s="1211">
        <f>J24*L24</f>
        <v>10</v>
      </c>
      <c r="N24" s="1209"/>
      <c r="O24" s="1215"/>
      <c r="P24" s="1216"/>
      <c r="Q24" s="1217">
        <f t="shared" si="0"/>
        <v>10</v>
      </c>
      <c r="R24" s="1188"/>
    </row>
    <row r="25" spans="1:18" ht="13.5" thickBot="1">
      <c r="A25" s="1189" t="s">
        <v>29</v>
      </c>
      <c r="B25" s="1190"/>
      <c r="C25" s="1110"/>
      <c r="D25" s="1110"/>
      <c r="E25" s="1110"/>
      <c r="F25" s="1112"/>
      <c r="G25" s="1191">
        <f>SUM(G$15:G$24)</f>
        <v>2.7670000000000003</v>
      </c>
      <c r="H25" s="1192"/>
      <c r="I25" s="1193">
        <f>SUM(I$15:I$24)</f>
        <v>40.777485320991005</v>
      </c>
      <c r="J25" s="1194"/>
      <c r="K25" s="1229"/>
      <c r="L25" s="1229"/>
      <c r="M25" s="1193">
        <f>SUM(M$15:M$24)</f>
        <v>47.73</v>
      </c>
      <c r="N25" s="1191">
        <f>SUM(N$15:N$24)</f>
        <v>27.320400000000003</v>
      </c>
      <c r="O25" s="1192">
        <f>SUM(O$15:O$24)</f>
        <v>50.849538461538465</v>
      </c>
      <c r="P25" s="1193">
        <f>SUM(P$15:P$24)</f>
        <v>231.53828843076928</v>
      </c>
      <c r="Q25" s="1192">
        <f>SUM(Q$15:Q$24)</f>
        <v>320.04577375176029</v>
      </c>
      <c r="R25" s="1230">
        <f>Q25</f>
        <v>320.04577375176029</v>
      </c>
    </row>
    <row r="26" spans="1:18" ht="13.5" thickBot="1">
      <c r="A26" s="1168" t="s">
        <v>71</v>
      </c>
      <c r="B26" s="1225"/>
      <c r="C26" s="1094"/>
      <c r="D26" s="1094"/>
      <c r="E26" s="1094"/>
      <c r="F26" s="1095"/>
      <c r="G26" s="1226"/>
      <c r="H26" s="1201"/>
      <c r="I26" s="1202"/>
      <c r="J26" s="1203"/>
      <c r="K26" s="1204"/>
      <c r="L26" s="1205"/>
      <c r="M26" s="1202"/>
      <c r="N26" s="1200"/>
      <c r="O26" s="1206"/>
      <c r="P26" s="1227"/>
      <c r="Q26" s="1228"/>
      <c r="R26" s="1208" t="s">
        <v>71</v>
      </c>
    </row>
    <row r="27" spans="1:18">
      <c r="A27" s="1176"/>
      <c r="B27" s="1177">
        <v>101</v>
      </c>
      <c r="C27" s="816" t="s">
        <v>24</v>
      </c>
      <c r="D27" s="816"/>
      <c r="E27" s="816"/>
      <c r="F27" s="1178" t="s">
        <v>25</v>
      </c>
      <c r="G27" s="1209"/>
      <c r="H27" s="1210"/>
      <c r="I27" s="1211"/>
      <c r="J27" s="1212">
        <f>Materials!F71</f>
        <v>6</v>
      </c>
      <c r="K27" s="1213" t="s">
        <v>300</v>
      </c>
      <c r="L27" s="1214">
        <v>4</v>
      </c>
      <c r="M27" s="1211">
        <f>+L27*J27</f>
        <v>24</v>
      </c>
      <c r="N27" s="1209"/>
      <c r="O27" s="1215"/>
      <c r="P27" s="1216"/>
      <c r="Q27" s="1217">
        <f>$P27+$M27+$I27</f>
        <v>24</v>
      </c>
      <c r="R27" s="1188"/>
    </row>
    <row r="28" spans="1:18" ht="13.5" thickBot="1">
      <c r="A28" s="1231"/>
      <c r="B28" s="1232">
        <v>110</v>
      </c>
      <c r="C28" s="816" t="s">
        <v>2</v>
      </c>
      <c r="D28" s="816"/>
      <c r="E28" s="816"/>
      <c r="F28" s="1178" t="s">
        <v>231</v>
      </c>
      <c r="G28" s="1272">
        <v>1.25</v>
      </c>
      <c r="H28" s="1210">
        <f>Machinery!U5+Machinery!U9</f>
        <v>14.78363566577778</v>
      </c>
      <c r="I28" s="1211">
        <f>G28*H28</f>
        <v>18.479544582222225</v>
      </c>
      <c r="J28" s="1212"/>
      <c r="K28" s="1213"/>
      <c r="L28" s="1214"/>
      <c r="M28" s="1211"/>
      <c r="N28" s="1209">
        <f>$G28*1.2</f>
        <v>1.5</v>
      </c>
      <c r="O28" s="1220">
        <f>Labor!I107</f>
        <v>8.4749230769230781</v>
      </c>
      <c r="P28" s="1216">
        <f>$O28*$N28</f>
        <v>12.712384615384618</v>
      </c>
      <c r="Q28" s="1217">
        <f>$P28+$M28+$I28</f>
        <v>31.191929197606843</v>
      </c>
      <c r="R28" s="1188"/>
    </row>
    <row r="29" spans="1:18" ht="13.5" thickBot="1">
      <c r="A29" s="1189" t="s">
        <v>72</v>
      </c>
      <c r="B29" s="1190"/>
      <c r="C29" s="1110"/>
      <c r="D29" s="1110"/>
      <c r="E29" s="1110"/>
      <c r="F29" s="1112"/>
      <c r="G29" s="1191">
        <f>SUM(G$27:G$28)</f>
        <v>1.25</v>
      </c>
      <c r="H29" s="1192"/>
      <c r="I29" s="1193">
        <f>SUM(I$27:I$28)</f>
        <v>18.479544582222225</v>
      </c>
      <c r="J29" s="1194"/>
      <c r="K29" s="1229"/>
      <c r="L29" s="1229"/>
      <c r="M29" s="1193">
        <f>SUM(M$27:M$28)</f>
        <v>24</v>
      </c>
      <c r="N29" s="1191">
        <f>SUM(N$27:N$28)</f>
        <v>1.5</v>
      </c>
      <c r="O29" s="1229"/>
      <c r="P29" s="1197">
        <f>SUM(P$27:P$28)</f>
        <v>12.712384615384618</v>
      </c>
      <c r="Q29" s="1198">
        <f>SUM(Q$27:Q$28)</f>
        <v>55.191929197606839</v>
      </c>
      <c r="R29" s="1199">
        <f>Q29</f>
        <v>55.191929197606839</v>
      </c>
    </row>
    <row r="30" spans="1:18" ht="13.5" thickBot="1">
      <c r="A30" s="1168" t="s">
        <v>27</v>
      </c>
      <c r="B30" s="1225"/>
      <c r="C30" s="1094"/>
      <c r="D30" s="1094"/>
      <c r="E30" s="1094"/>
      <c r="F30" s="1095"/>
      <c r="G30" s="1226"/>
      <c r="H30" s="1201"/>
      <c r="I30" s="1202"/>
      <c r="J30" s="1203"/>
      <c r="K30" s="1204"/>
      <c r="L30" s="1205"/>
      <c r="M30" s="1202"/>
      <c r="N30" s="1200"/>
      <c r="O30" s="1206"/>
      <c r="P30" s="1227"/>
      <c r="Q30" s="1228"/>
      <c r="R30" s="1208" t="s">
        <v>27</v>
      </c>
    </row>
    <row r="31" spans="1:18" ht="13.5" thickBot="1">
      <c r="A31" s="1176"/>
      <c r="B31" s="1177">
        <v>101</v>
      </c>
      <c r="C31" s="816" t="s">
        <v>24</v>
      </c>
      <c r="D31" s="816"/>
      <c r="E31" s="816"/>
      <c r="F31" s="1178" t="s">
        <v>25</v>
      </c>
      <c r="G31" s="1209"/>
      <c r="H31" s="1210"/>
      <c r="I31" s="1211"/>
      <c r="J31" s="1212">
        <f>Materials!F71</f>
        <v>6</v>
      </c>
      <c r="K31" s="1213" t="s">
        <v>300</v>
      </c>
      <c r="L31" s="1214">
        <v>1</v>
      </c>
      <c r="M31" s="1211">
        <f>+L31*J31</f>
        <v>6</v>
      </c>
      <c r="N31" s="1209"/>
      <c r="O31" s="1215"/>
      <c r="P31" s="1216"/>
      <c r="Q31" s="1217">
        <f>$P31+$M31+$I31</f>
        <v>6</v>
      </c>
      <c r="R31" s="1188"/>
    </row>
    <row r="32" spans="1:18" ht="13.5" thickBot="1">
      <c r="A32" s="1189" t="s">
        <v>37</v>
      </c>
      <c r="B32" s="1190"/>
      <c r="C32" s="1110"/>
      <c r="D32" s="1110"/>
      <c r="E32" s="1110"/>
      <c r="F32" s="1112"/>
      <c r="G32" s="1191">
        <f>SUM(G$31:G$31)</f>
        <v>0</v>
      </c>
      <c r="H32" s="1192"/>
      <c r="I32" s="1193">
        <f>SUM(I$31:I$31)</f>
        <v>0</v>
      </c>
      <c r="J32" s="1194"/>
      <c r="K32" s="1229"/>
      <c r="L32" s="1229"/>
      <c r="M32" s="1193">
        <f>SUM(M$31:M$31)</f>
        <v>6</v>
      </c>
      <c r="N32" s="1191">
        <f>SUM(N$31:N$31)</f>
        <v>0</v>
      </c>
      <c r="O32" s="1229"/>
      <c r="P32" s="1197">
        <f>SUM(P$31:P$31)</f>
        <v>0</v>
      </c>
      <c r="Q32" s="1233">
        <f>SUM(Q$31:Q$31)</f>
        <v>6</v>
      </c>
      <c r="R32" s="1199">
        <f>Q32</f>
        <v>6</v>
      </c>
    </row>
    <row r="33" spans="1:18" ht="13.5" thickBot="1">
      <c r="A33" s="1168" t="s">
        <v>0</v>
      </c>
      <c r="B33" s="1225"/>
      <c r="C33" s="1094"/>
      <c r="D33" s="1094"/>
      <c r="E33" s="1094"/>
      <c r="F33" s="1095"/>
      <c r="G33" s="1226"/>
      <c r="H33" s="1201"/>
      <c r="I33" s="1202"/>
      <c r="J33" s="1203"/>
      <c r="K33" s="1204"/>
      <c r="L33" s="1205"/>
      <c r="M33" s="1202"/>
      <c r="N33" s="1200"/>
      <c r="O33" s="1206"/>
      <c r="P33" s="1227"/>
      <c r="Q33" s="1228"/>
      <c r="R33" s="1208" t="s">
        <v>0</v>
      </c>
    </row>
    <row r="34" spans="1:18" ht="13.5" thickBot="1">
      <c r="A34" s="1189"/>
      <c r="B34" s="1234">
        <v>101</v>
      </c>
      <c r="C34" s="816" t="s">
        <v>24</v>
      </c>
      <c r="D34" s="816"/>
      <c r="E34" s="816"/>
      <c r="F34" s="1178" t="s">
        <v>25</v>
      </c>
      <c r="G34" s="1209"/>
      <c r="H34" s="1210"/>
      <c r="I34" s="1211"/>
      <c r="J34" s="1212">
        <f>Materials!F71</f>
        <v>6</v>
      </c>
      <c r="K34" s="1213" t="s">
        <v>300</v>
      </c>
      <c r="L34" s="1214">
        <v>1</v>
      </c>
      <c r="M34" s="1211">
        <f>+L34*J34</f>
        <v>6</v>
      </c>
      <c r="N34" s="1209"/>
      <c r="O34" s="1215"/>
      <c r="P34" s="1216"/>
      <c r="Q34" s="1217">
        <f>$P34+$M34+$I34</f>
        <v>6</v>
      </c>
      <c r="R34" s="1188"/>
    </row>
    <row r="35" spans="1:18" ht="13.5" thickBot="1">
      <c r="A35" s="1189" t="s">
        <v>1</v>
      </c>
      <c r="B35" s="1190"/>
      <c r="C35" s="1110"/>
      <c r="D35" s="1110"/>
      <c r="E35" s="1110"/>
      <c r="F35" s="1112"/>
      <c r="G35" s="1191">
        <f>SUM(G$34)</f>
        <v>0</v>
      </c>
      <c r="H35" s="1192"/>
      <c r="I35" s="1193">
        <f t="shared" ref="I35:Q35" si="1">SUM(I$34)</f>
        <v>0</v>
      </c>
      <c r="J35" s="1194"/>
      <c r="K35" s="1229"/>
      <c r="L35" s="1229"/>
      <c r="M35" s="1193">
        <f t="shared" si="1"/>
        <v>6</v>
      </c>
      <c r="N35" s="1191">
        <f t="shared" si="1"/>
        <v>0</v>
      </c>
      <c r="O35" s="1229"/>
      <c r="P35" s="1197">
        <f t="shared" si="1"/>
        <v>0</v>
      </c>
      <c r="Q35" s="1198">
        <f t="shared" si="1"/>
        <v>6</v>
      </c>
      <c r="R35" s="1199">
        <f>Q35</f>
        <v>6</v>
      </c>
    </row>
    <row r="36" spans="1:18" ht="13.5" thickBot="1">
      <c r="A36" s="1168" t="s">
        <v>3</v>
      </c>
      <c r="B36" s="1225"/>
      <c r="C36" s="1094"/>
      <c r="D36" s="1094"/>
      <c r="E36" s="1094"/>
      <c r="F36" s="1095"/>
      <c r="G36" s="1226"/>
      <c r="H36" s="1201"/>
      <c r="I36" s="1202"/>
      <c r="J36" s="1203"/>
      <c r="K36" s="1204"/>
      <c r="L36" s="1205"/>
      <c r="M36" s="1202"/>
      <c r="N36" s="1200"/>
      <c r="O36" s="1206"/>
      <c r="P36" s="1227"/>
      <c r="Q36" s="1228"/>
      <c r="R36" s="1208" t="s">
        <v>3</v>
      </c>
    </row>
    <row r="37" spans="1:18">
      <c r="A37" s="1176"/>
      <c r="B37" s="1177">
        <v>101</v>
      </c>
      <c r="C37" s="816" t="s">
        <v>24</v>
      </c>
      <c r="D37" s="816"/>
      <c r="E37" s="816"/>
      <c r="F37" s="1178" t="s">
        <v>25</v>
      </c>
      <c r="G37" s="1209"/>
      <c r="H37" s="1210"/>
      <c r="I37" s="1211"/>
      <c r="J37" s="1212">
        <f>Materials!F71</f>
        <v>6</v>
      </c>
      <c r="K37" s="1213" t="s">
        <v>300</v>
      </c>
      <c r="L37" s="1214">
        <v>1</v>
      </c>
      <c r="M37" s="1211">
        <f>+L37*J37</f>
        <v>6</v>
      </c>
      <c r="N37" s="1209"/>
      <c r="O37" s="1215"/>
      <c r="P37" s="1216"/>
      <c r="Q37" s="1217">
        <f>$P37+$M37+$I37</f>
        <v>6</v>
      </c>
      <c r="R37" s="1188"/>
    </row>
    <row r="38" spans="1:18">
      <c r="A38" s="1218"/>
      <c r="B38" s="1219">
        <v>111</v>
      </c>
      <c r="C38" s="816" t="s">
        <v>5</v>
      </c>
      <c r="D38" s="816"/>
      <c r="E38" s="816"/>
      <c r="F38" s="1178"/>
      <c r="G38" s="1209"/>
      <c r="H38" s="1210"/>
      <c r="I38" s="1211"/>
      <c r="J38" s="1212">
        <f>Materials!D62</f>
        <v>1.5</v>
      </c>
      <c r="K38" s="1213" t="s">
        <v>286</v>
      </c>
      <c r="L38" s="1214">
        <v>1089</v>
      </c>
      <c r="M38" s="1211">
        <f>J38*L38</f>
        <v>1633.5</v>
      </c>
      <c r="N38" s="1272">
        <v>0.25</v>
      </c>
      <c r="O38" s="1215">
        <f>Labor!I53</f>
        <v>15.721984615384617</v>
      </c>
      <c r="P38" s="1216">
        <f>N38*O38</f>
        <v>3.9304961538461543</v>
      </c>
      <c r="Q38" s="1217">
        <f>$P38+$M38+$I38</f>
        <v>1637.4304961538462</v>
      </c>
      <c r="R38" s="1188"/>
    </row>
    <row r="39" spans="1:18" ht="13.5" thickBot="1">
      <c r="A39" s="1235"/>
      <c r="B39" s="1232">
        <v>112</v>
      </c>
      <c r="C39" s="816" t="s">
        <v>211</v>
      </c>
      <c r="D39" s="816"/>
      <c r="E39" s="816"/>
      <c r="F39" s="1178"/>
      <c r="G39" s="1209"/>
      <c r="H39" s="1210"/>
      <c r="I39" s="1211"/>
      <c r="J39" s="1212">
        <f>Materials!E59</f>
        <v>4219.8</v>
      </c>
      <c r="K39" s="1236" t="s">
        <v>286</v>
      </c>
      <c r="L39" s="1237">
        <v>1</v>
      </c>
      <c r="M39" s="1211">
        <f>J39*L39</f>
        <v>4219.8</v>
      </c>
      <c r="N39" s="1272">
        <v>1</v>
      </c>
      <c r="O39" s="1215">
        <f>Labor!I53</f>
        <v>15.721984615384617</v>
      </c>
      <c r="P39" s="1216">
        <f>N39*O39</f>
        <v>15.721984615384617</v>
      </c>
      <c r="Q39" s="1217">
        <f>$P39+$M39+$I39</f>
        <v>4235.521984615385</v>
      </c>
      <c r="R39" s="1238"/>
    </row>
    <row r="40" spans="1:18" ht="13.5" thickBot="1">
      <c r="A40" s="1235"/>
      <c r="B40" s="1239"/>
      <c r="C40" s="816" t="s">
        <v>857</v>
      </c>
      <c r="D40" s="816"/>
      <c r="E40" s="816"/>
      <c r="F40" s="1178"/>
      <c r="G40" s="1209"/>
      <c r="H40" s="1210"/>
      <c r="I40" s="1211">
        <f>IF(HOAssumptions!G57=1,'Trellis Total Costs '!G31,IF(HOAssumptions!G58=1,'Trellis Total Costs '!G52,IF(HOAssumptions!G59=1,'Trellis Total Costs '!G69,IF(HOAssumptions!G60=1,'Trellis Total Costs '!G91,""))))</f>
        <v>222.77914461916669</v>
      </c>
      <c r="J40" s="1212"/>
      <c r="K40" s="1236"/>
      <c r="L40" s="1237"/>
      <c r="M40" s="1211"/>
      <c r="N40" s="764">
        <f>IF(HOAssumptions!G57=1,'Trellis Total Costs '!L31,IF(HOAssumptions!G58=1,'Trellis Total Costs '!L52,IF(HOAssumptions!G59=1,'Trellis Total Costs '!L69,IF(HOAssumptions!G60=1,'Trellis Total Costs '!L91,""))))</f>
        <v>165</v>
      </c>
      <c r="O40" s="1215">
        <f>'Trellis Labor'!H52</f>
        <v>9.9699846153846163</v>
      </c>
      <c r="P40" s="1240">
        <f>N40*O40</f>
        <v>1645.0474615384617</v>
      </c>
      <c r="Q40" s="1217">
        <f>$P40+$M40+$I40</f>
        <v>1867.8266061576282</v>
      </c>
      <c r="R40" s="1238"/>
    </row>
    <row r="41" spans="1:18" ht="13.5" thickBot="1">
      <c r="A41" s="1189" t="s">
        <v>4</v>
      </c>
      <c r="B41" s="1190"/>
      <c r="C41" s="1110"/>
      <c r="D41" s="1110"/>
      <c r="E41" s="1110"/>
      <c r="F41" s="1112"/>
      <c r="G41" s="1191">
        <f>SUM(G$37:G$39)</f>
        <v>0</v>
      </c>
      <c r="H41" s="1192"/>
      <c r="I41" s="1193">
        <f>SUM(I$37:I$40)</f>
        <v>222.77914461916669</v>
      </c>
      <c r="J41" s="1194"/>
      <c r="K41" s="1229"/>
      <c r="L41" s="1229"/>
      <c r="M41" s="1193">
        <f>SUM(M$37:M$40)</f>
        <v>5859.3</v>
      </c>
      <c r="N41" s="1193">
        <f>SUM(N$37:N$40)</f>
        <v>166.25</v>
      </c>
      <c r="O41" s="1193">
        <f>SUM(O$37:O$40)</f>
        <v>41.413953846153852</v>
      </c>
      <c r="P41" s="1193">
        <f>SUM(P$37:P$40)</f>
        <v>1664.6999423076925</v>
      </c>
      <c r="Q41" s="1193">
        <f>SUM(Q$37:Q$40)</f>
        <v>7746.7790869268592</v>
      </c>
      <c r="R41" s="1199">
        <f>Q41</f>
        <v>7746.7790869268592</v>
      </c>
    </row>
    <row r="42" spans="1:18" ht="13.5" thickBot="1">
      <c r="A42" s="1241" t="s">
        <v>48</v>
      </c>
      <c r="B42" s="1242"/>
      <c r="C42" s="1243"/>
      <c r="D42" s="1243"/>
      <c r="E42" s="1243"/>
      <c r="F42" s="1244"/>
      <c r="G42" s="1245"/>
      <c r="H42" s="1246"/>
      <c r="I42" s="1247"/>
      <c r="J42" s="1248"/>
      <c r="K42" s="1249"/>
      <c r="L42" s="1250"/>
      <c r="M42" s="1247"/>
      <c r="N42" s="1245"/>
      <c r="O42" s="1251"/>
      <c r="P42" s="1252"/>
      <c r="Q42" s="1253"/>
      <c r="R42" s="1254" t="s">
        <v>44</v>
      </c>
    </row>
    <row r="43" spans="1:18">
      <c r="A43" s="1176"/>
      <c r="B43" s="1177">
        <v>113</v>
      </c>
      <c r="C43" s="816" t="s">
        <v>38</v>
      </c>
      <c r="D43" s="816"/>
      <c r="E43" s="816"/>
      <c r="F43" s="1178" t="s">
        <v>39</v>
      </c>
      <c r="G43" s="1209"/>
      <c r="H43" s="1210"/>
      <c r="I43" s="1211"/>
      <c r="J43" s="1212">
        <f>Materials!D100</f>
        <v>16</v>
      </c>
      <c r="K43" s="1213" t="s">
        <v>286</v>
      </c>
      <c r="L43" s="1214">
        <v>1</v>
      </c>
      <c r="M43" s="1211">
        <f>$J43*L43</f>
        <v>16</v>
      </c>
      <c r="N43" s="1209"/>
      <c r="O43" s="1215"/>
      <c r="P43" s="1216"/>
      <c r="Q43" s="1217">
        <f>$M43+$I43+$P43</f>
        <v>16</v>
      </c>
      <c r="R43" s="1188"/>
    </row>
    <row r="44" spans="1:18">
      <c r="A44" s="1218"/>
      <c r="B44" s="1219">
        <f>B43+1</f>
        <v>114</v>
      </c>
      <c r="C44" s="816" t="s">
        <v>40</v>
      </c>
      <c r="D44" s="816"/>
      <c r="E44" s="816"/>
      <c r="F44" s="1178" t="s">
        <v>41</v>
      </c>
      <c r="G44" s="1209"/>
      <c r="H44" s="1210"/>
      <c r="I44" s="1211"/>
      <c r="J44" s="1212">
        <f>Materials!D101</f>
        <v>10</v>
      </c>
      <c r="K44" s="1213" t="s">
        <v>286</v>
      </c>
      <c r="L44" s="1214">
        <v>1</v>
      </c>
      <c r="M44" s="1211">
        <f>$J44*L44</f>
        <v>10</v>
      </c>
      <c r="N44" s="1209"/>
      <c r="O44" s="1215"/>
      <c r="P44" s="1216"/>
      <c r="Q44" s="1217">
        <f>$M44+$I44+$P44</f>
        <v>10</v>
      </c>
      <c r="R44" s="1188"/>
    </row>
    <row r="45" spans="1:18">
      <c r="A45" s="1218"/>
      <c r="B45" s="1219">
        <f>B44+1</f>
        <v>115</v>
      </c>
      <c r="C45" s="816" t="s">
        <v>42</v>
      </c>
      <c r="D45" s="816"/>
      <c r="E45" s="816"/>
      <c r="F45" s="1178" t="s">
        <v>43</v>
      </c>
      <c r="G45" s="1209"/>
      <c r="H45" s="1210"/>
      <c r="I45" s="1211"/>
      <c r="J45" s="1212">
        <f>Materials!D102</f>
        <v>100</v>
      </c>
      <c r="K45" s="1213" t="s">
        <v>286</v>
      </c>
      <c r="L45" s="1214">
        <v>1</v>
      </c>
      <c r="M45" s="1211">
        <f>$J45*L45</f>
        <v>100</v>
      </c>
      <c r="N45" s="1209"/>
      <c r="O45" s="1215"/>
      <c r="P45" s="1216"/>
      <c r="Q45" s="1217">
        <f>$M45+$I45+$P45</f>
        <v>100</v>
      </c>
      <c r="R45" s="1188"/>
    </row>
    <row r="46" spans="1:18">
      <c r="A46" s="1218"/>
      <c r="B46" s="1219">
        <f>B45+1</f>
        <v>116</v>
      </c>
      <c r="C46" s="816" t="s">
        <v>45</v>
      </c>
      <c r="D46" s="816"/>
      <c r="E46" s="816"/>
      <c r="F46" s="1178" t="s">
        <v>45</v>
      </c>
      <c r="G46" s="1209"/>
      <c r="H46" s="1210"/>
      <c r="I46" s="1211"/>
      <c r="J46" s="1212">
        <f>Materials!D103</f>
        <v>35</v>
      </c>
      <c r="K46" s="1213" t="s">
        <v>286</v>
      </c>
      <c r="L46" s="1214">
        <v>1</v>
      </c>
      <c r="M46" s="1211">
        <f>$J46*L46</f>
        <v>35</v>
      </c>
      <c r="N46" s="1209"/>
      <c r="O46" s="1215"/>
      <c r="P46" s="1216"/>
      <c r="Q46" s="1217">
        <f>$M46+$I46+$P46</f>
        <v>35</v>
      </c>
      <c r="R46" s="1188"/>
    </row>
    <row r="47" spans="1:18" ht="13.5" thickBot="1">
      <c r="A47" s="1235"/>
      <c r="B47" s="1219">
        <f>B46+1</f>
        <v>117</v>
      </c>
      <c r="C47" s="816" t="s">
        <v>46</v>
      </c>
      <c r="D47" s="816"/>
      <c r="E47" s="816"/>
      <c r="F47" s="1178" t="s">
        <v>47</v>
      </c>
      <c r="G47" s="1209"/>
      <c r="H47" s="1210"/>
      <c r="I47" s="1211"/>
      <c r="J47" s="1212">
        <f>Materials!D104</f>
        <v>25</v>
      </c>
      <c r="K47" s="1213" t="s">
        <v>286</v>
      </c>
      <c r="L47" s="1214">
        <v>1</v>
      </c>
      <c r="M47" s="1211">
        <f>$J47*L47</f>
        <v>25</v>
      </c>
      <c r="N47" s="1209"/>
      <c r="O47" s="1215"/>
      <c r="P47" s="1216"/>
      <c r="Q47" s="1217">
        <f>$M47+$I47+$P47</f>
        <v>25</v>
      </c>
      <c r="R47" s="1188"/>
    </row>
    <row r="48" spans="1:18" ht="13.5" thickBot="1">
      <c r="A48" s="1189" t="s">
        <v>49</v>
      </c>
      <c r="B48" s="1190"/>
      <c r="C48" s="1110"/>
      <c r="D48" s="1110"/>
      <c r="E48" s="1110"/>
      <c r="F48" s="1112"/>
      <c r="G48" s="1191">
        <f>SUM(G$43:G$47)</f>
        <v>0</v>
      </c>
      <c r="H48" s="1192"/>
      <c r="I48" s="1193">
        <f t="shared" ref="I48:Q48" si="2">SUM(I$43:I$47)</f>
        <v>0</v>
      </c>
      <c r="J48" s="1194"/>
      <c r="K48" s="1229"/>
      <c r="L48" s="1229"/>
      <c r="M48" s="1193">
        <f t="shared" si="2"/>
        <v>186</v>
      </c>
      <c r="N48" s="1191">
        <f t="shared" si="2"/>
        <v>0</v>
      </c>
      <c r="O48" s="1229"/>
      <c r="P48" s="1197">
        <f t="shared" si="2"/>
        <v>0</v>
      </c>
      <c r="Q48" s="1198">
        <f t="shared" si="2"/>
        <v>186</v>
      </c>
      <c r="R48" s="1199">
        <f>Q48</f>
        <v>186</v>
      </c>
    </row>
    <row r="49" spans="1:18" ht="13.5" thickBot="1">
      <c r="A49" s="1255" t="s">
        <v>50</v>
      </c>
      <c r="B49" s="1225"/>
      <c r="C49" s="1094"/>
      <c r="D49" s="1094"/>
      <c r="E49" s="1094"/>
      <c r="F49" s="1095"/>
      <c r="G49" s="1256"/>
      <c r="H49" s="1257"/>
      <c r="I49" s="1258"/>
      <c r="J49" s="1259"/>
      <c r="K49" s="1260"/>
      <c r="L49" s="1261"/>
      <c r="M49" s="1258"/>
      <c r="N49" s="1256"/>
      <c r="O49" s="1262"/>
      <c r="P49" s="1263"/>
      <c r="Q49" s="1264"/>
      <c r="R49" s="1208" t="s">
        <v>55</v>
      </c>
    </row>
    <row r="50" spans="1:18">
      <c r="A50" s="1176"/>
      <c r="B50" s="1177">
        <v>118</v>
      </c>
      <c r="C50" s="816" t="s">
        <v>51</v>
      </c>
      <c r="D50" s="816"/>
      <c r="E50" s="816"/>
      <c r="F50" s="1178" t="s">
        <v>52</v>
      </c>
      <c r="G50" s="1272">
        <v>2</v>
      </c>
      <c r="H50" s="1210">
        <f>Machinery!V23</f>
        <v>15.64</v>
      </c>
      <c r="I50" s="1211">
        <f>G50*H50</f>
        <v>31.28</v>
      </c>
      <c r="J50" s="1212"/>
      <c r="K50" s="1213"/>
      <c r="L50" s="1214"/>
      <c r="M50" s="1211"/>
      <c r="N50" s="1209">
        <f>$G50*1.2</f>
        <v>2.4</v>
      </c>
      <c r="O50" s="1220">
        <f>Labor!I107</f>
        <v>8.4749230769230781</v>
      </c>
      <c r="P50" s="1216">
        <f>$N50*$O50</f>
        <v>20.339815384615388</v>
      </c>
      <c r="Q50" s="1217">
        <f>$P50+$M50+$I50</f>
        <v>51.619815384615393</v>
      </c>
      <c r="R50" s="1188"/>
    </row>
    <row r="51" spans="1:18" ht="13.5" thickBot="1">
      <c r="A51" s="1235"/>
      <c r="B51" s="1232">
        <v>119</v>
      </c>
      <c r="C51" s="816" t="s">
        <v>53</v>
      </c>
      <c r="D51" s="816"/>
      <c r="E51" s="816"/>
      <c r="F51" s="1178"/>
      <c r="G51" s="1209"/>
      <c r="H51" s="1210"/>
      <c r="I51" s="1211"/>
      <c r="J51" s="1212">
        <f>Materials!D105</f>
        <v>70</v>
      </c>
      <c r="K51" s="1213" t="s">
        <v>286</v>
      </c>
      <c r="L51" s="1214">
        <v>1</v>
      </c>
      <c r="M51" s="1211">
        <f>$J51*L51</f>
        <v>70</v>
      </c>
      <c r="N51" s="1209"/>
      <c r="O51" s="1215"/>
      <c r="P51" s="1216"/>
      <c r="Q51" s="1217">
        <f>$P51+$M51+$I51</f>
        <v>70</v>
      </c>
      <c r="R51" s="1188"/>
    </row>
    <row r="52" spans="1:18" ht="13.5" thickBot="1">
      <c r="A52" s="1189" t="s">
        <v>54</v>
      </c>
      <c r="B52" s="1190"/>
      <c r="C52" s="1110"/>
      <c r="D52" s="1110"/>
      <c r="E52" s="1110"/>
      <c r="F52" s="1112"/>
      <c r="G52" s="1191">
        <f>SUM(G$50:G$51)</f>
        <v>2</v>
      </c>
      <c r="H52" s="1192"/>
      <c r="I52" s="1193">
        <f>SUM(I$50:I$51)</f>
        <v>31.28</v>
      </c>
      <c r="J52" s="1194"/>
      <c r="K52" s="1229"/>
      <c r="L52" s="1229"/>
      <c r="M52" s="1193">
        <f>SUM(M$50:M$51)</f>
        <v>70</v>
      </c>
      <c r="N52" s="1191">
        <f>SUM(N$50:N$51)</f>
        <v>2.4</v>
      </c>
      <c r="O52" s="1229"/>
      <c r="P52" s="1197">
        <f>SUM(P$50:P$51)</f>
        <v>20.339815384615388</v>
      </c>
      <c r="Q52" s="1198">
        <f>SUM(Q$50:Q$51)</f>
        <v>121.61981538461539</v>
      </c>
      <c r="R52" s="1199">
        <f>Q52</f>
        <v>121.61981538461539</v>
      </c>
    </row>
    <row r="53" spans="1:18" ht="13.5" thickBot="1">
      <c r="A53" s="1168" t="s">
        <v>64</v>
      </c>
      <c r="B53" s="1225"/>
      <c r="C53" s="1094"/>
      <c r="D53" s="1094"/>
      <c r="E53" s="1094"/>
      <c r="F53" s="1095"/>
      <c r="G53" s="1226">
        <f>SUM(G$52+G$48+G$41+G$35+G$32+G$29+G$25+G$13)</f>
        <v>6.0170000000000003</v>
      </c>
      <c r="H53" s="1265"/>
      <c r="I53" s="1227">
        <f>SUM(I$52+I$48+I$41+I$35+I$32+I$29+I$25+I$13+I$8)</f>
        <v>313.31617452237992</v>
      </c>
      <c r="J53" s="1266"/>
      <c r="K53" s="1228"/>
      <c r="L53" s="1228"/>
      <c r="M53" s="1227">
        <f>SUM(M$52+M$48+M$41+M$35+M$32+M$29+M$25+M$13+M$8)</f>
        <v>6232.03</v>
      </c>
      <c r="N53" s="1265">
        <f>SUM(N$52+N$48+N$41+N$35+N$32+N$29+N$25+N$13+N$8)</f>
        <v>203.27040000000002</v>
      </c>
      <c r="O53" s="1265"/>
      <c r="P53" s="1228">
        <f>SUM(P$52+P$48+P$41+P$35+P$32+P$29+P$25+P$13+P$8)</f>
        <v>1978.4449845846152</v>
      </c>
      <c r="Q53" s="1228">
        <f>SUM(Q$52+Q$48+Q$41+Q$35+Q$32+Q$29+Q$25+Q$13+Q$8)</f>
        <v>8523.7911591069951</v>
      </c>
      <c r="R53" s="1267">
        <f>Q53</f>
        <v>8523.7911591069951</v>
      </c>
    </row>
    <row r="54" spans="1:18">
      <c r="B54" s="1268"/>
      <c r="F54" s="1101"/>
      <c r="G54" s="1269"/>
      <c r="K54" s="828"/>
      <c r="L54" s="1101"/>
      <c r="N54" s="1269"/>
      <c r="O54" s="798"/>
      <c r="P54" s="798"/>
      <c r="Q54" s="798"/>
    </row>
    <row r="55" spans="1:18">
      <c r="A55" s="764" t="s">
        <v>212</v>
      </c>
      <c r="B55" s="1268"/>
      <c r="F55" s="1101"/>
      <c r="G55" s="1271"/>
      <c r="J55" s="1141"/>
      <c r="K55" s="828"/>
      <c r="L55" s="1101"/>
      <c r="N55" s="1271"/>
      <c r="O55" s="798"/>
      <c r="P55" s="798"/>
      <c r="Q55" s="798"/>
    </row>
    <row r="56" spans="1:18">
      <c r="B56" s="1268"/>
      <c r="F56" s="1101"/>
      <c r="G56" s="1271"/>
      <c r="K56" s="828"/>
      <c r="L56" s="1101"/>
      <c r="N56" s="1271"/>
      <c r="O56" s="798"/>
      <c r="P56" s="798"/>
      <c r="Q56" s="798"/>
    </row>
    <row r="57" spans="1:18">
      <c r="B57" s="1268"/>
      <c r="F57" s="1101"/>
      <c r="G57" s="1271"/>
      <c r="K57" s="828"/>
      <c r="L57" s="1101"/>
      <c r="N57" s="1271"/>
      <c r="O57" s="798"/>
      <c r="P57" s="798"/>
      <c r="Q57" s="798"/>
    </row>
    <row r="58" spans="1:18">
      <c r="B58" s="1268"/>
      <c r="F58" s="1101"/>
      <c r="G58" s="1271"/>
      <c r="K58" s="828"/>
      <c r="L58" s="1101"/>
      <c r="N58" s="1271"/>
      <c r="O58" s="798"/>
      <c r="P58" s="798"/>
      <c r="Q58" s="798"/>
    </row>
    <row r="59" spans="1:18">
      <c r="B59" s="1268"/>
      <c r="F59" s="1101"/>
      <c r="G59" s="1271"/>
      <c r="K59" s="828"/>
      <c r="L59" s="1101"/>
      <c r="N59" s="1271"/>
      <c r="O59" s="798"/>
      <c r="P59" s="798"/>
      <c r="Q59" s="798"/>
    </row>
    <row r="60" spans="1:18">
      <c r="B60" s="1268"/>
      <c r="F60" s="1101"/>
      <c r="G60" s="1271"/>
      <c r="J60" s="1141"/>
      <c r="K60" s="828"/>
      <c r="L60" s="1101"/>
      <c r="N60" s="1271"/>
      <c r="O60" s="798"/>
      <c r="P60" s="798"/>
      <c r="Q60" s="798"/>
    </row>
  </sheetData>
  <sheetProtection password="A5F1" sheet="1" objects="1" scenarios="1"/>
  <phoneticPr fontId="0" type="noConversion"/>
  <pageMargins left="0.76" right="0.75" top="0.5" bottom="0.25" header="0.5" footer="0.16"/>
  <pageSetup scale="68" orientation="landscape"/>
  <headerFooter alignWithMargins="0"/>
</worksheet>
</file>

<file path=xl/worksheets/sheet16.xml><?xml version="1.0" encoding="utf-8"?>
<worksheet xmlns="http://schemas.openxmlformats.org/spreadsheetml/2006/main" xmlns:r="http://schemas.openxmlformats.org/officeDocument/2006/relationships">
  <sheetPr codeName="Sheet4" enableFormatConditionsCalculation="0">
    <tabColor theme="3" tint="0.39997558519241921"/>
  </sheetPr>
  <dimension ref="A1:R96"/>
  <sheetViews>
    <sheetView topLeftCell="A27" zoomScaleNormal="100" workbookViewId="0">
      <selection activeCell="G57" sqref="G57"/>
    </sheetView>
  </sheetViews>
  <sheetFormatPr defaultColWidth="8.85546875" defaultRowHeight="12.75"/>
  <cols>
    <col min="1" max="1" width="10.7109375" style="764" customWidth="1"/>
    <col min="2" max="2" width="8.85546875" style="764"/>
    <col min="3" max="3" width="24.7109375" style="764" customWidth="1"/>
    <col min="4" max="5" width="1.7109375" style="764" customWidth="1"/>
    <col min="6" max="6" width="29.7109375" style="764" customWidth="1"/>
    <col min="7" max="8" width="8.85546875" style="764"/>
    <col min="9" max="9" width="10.140625" style="764" bestFit="1" customWidth="1"/>
    <col min="10" max="10" width="8.85546875" style="764"/>
    <col min="11" max="11" width="10.140625" style="828" bestFit="1" customWidth="1"/>
    <col min="12" max="12" width="8.85546875" style="764"/>
    <col min="13" max="13" width="9.7109375" style="764" customWidth="1"/>
    <col min="14" max="15" width="8.85546875" style="764"/>
    <col min="16" max="18" width="9.7109375" style="764" customWidth="1"/>
    <col min="19" max="16384" width="8.85546875" style="764"/>
  </cols>
  <sheetData>
    <row r="1" spans="1:18">
      <c r="A1" s="3" t="s">
        <v>75</v>
      </c>
      <c r="B1" s="1274"/>
      <c r="C1" s="1274"/>
      <c r="D1" s="1274"/>
      <c r="E1" s="1274"/>
      <c r="F1" s="1274"/>
      <c r="G1" s="1275"/>
      <c r="H1" s="1276"/>
      <c r="I1" s="1277"/>
      <c r="J1" s="1274"/>
      <c r="L1" s="1274"/>
      <c r="M1" s="1277"/>
      <c r="N1" s="1274"/>
      <c r="O1" s="1278"/>
      <c r="P1" s="1274"/>
      <c r="Q1" s="1274"/>
      <c r="R1" s="1274"/>
    </row>
    <row r="2" spans="1:18" ht="13.5" thickBot="1">
      <c r="A2" s="1279" t="s">
        <v>7</v>
      </c>
      <c r="B2" s="1274"/>
      <c r="C2" s="1274"/>
      <c r="D2" s="1274"/>
      <c r="E2" s="1274"/>
      <c r="F2" s="1279" t="s">
        <v>7</v>
      </c>
      <c r="G2" s="1275"/>
      <c r="H2" s="1276"/>
      <c r="I2" s="1277"/>
      <c r="J2" s="1274"/>
      <c r="L2" s="801"/>
      <c r="M2" s="1277" t="s">
        <v>7</v>
      </c>
      <c r="N2" s="1274"/>
      <c r="O2" s="1278"/>
      <c r="P2" s="1274"/>
      <c r="Q2" s="1274"/>
      <c r="R2" s="1274"/>
    </row>
    <row r="3" spans="1:18" ht="13.5" thickTop="1">
      <c r="A3" s="1142" t="s">
        <v>8</v>
      </c>
      <c r="B3" s="1143" t="s">
        <v>9</v>
      </c>
      <c r="C3" s="1143" t="s">
        <v>76</v>
      </c>
      <c r="D3" s="1280"/>
      <c r="E3" s="1280"/>
      <c r="F3" s="1281"/>
      <c r="G3" s="1282"/>
      <c r="H3" s="1283" t="s">
        <v>10</v>
      </c>
      <c r="I3" s="1284"/>
      <c r="J3" s="1280"/>
      <c r="K3" s="1143" t="s">
        <v>11</v>
      </c>
      <c r="L3" s="1280"/>
      <c r="M3" s="1285"/>
      <c r="N3" s="1286"/>
      <c r="O3" s="1143" t="s">
        <v>12</v>
      </c>
      <c r="P3" s="1287"/>
      <c r="Q3" s="1143" t="s">
        <v>13</v>
      </c>
      <c r="R3" s="1150" t="s">
        <v>14</v>
      </c>
    </row>
    <row r="4" spans="1:18" ht="13.5" thickBot="1">
      <c r="A4" s="1288"/>
      <c r="B4" s="1289"/>
      <c r="C4" s="1290" t="s">
        <v>77</v>
      </c>
      <c r="D4" s="1290"/>
      <c r="E4" s="1290"/>
      <c r="F4" s="1289"/>
      <c r="G4" s="1291" t="s">
        <v>15</v>
      </c>
      <c r="H4" s="1292" t="s">
        <v>16</v>
      </c>
      <c r="I4" s="1293" t="s">
        <v>17</v>
      </c>
      <c r="J4" s="1290" t="s">
        <v>18</v>
      </c>
      <c r="K4" s="1290" t="s">
        <v>19</v>
      </c>
      <c r="L4" s="1290" t="s">
        <v>267</v>
      </c>
      <c r="M4" s="1294" t="s">
        <v>21</v>
      </c>
      <c r="N4" s="1295" t="s">
        <v>15</v>
      </c>
      <c r="O4" s="1296" t="s">
        <v>16</v>
      </c>
      <c r="P4" s="1297" t="s">
        <v>22</v>
      </c>
      <c r="Q4" s="1152" t="s">
        <v>23</v>
      </c>
      <c r="R4" s="1158" t="s">
        <v>23</v>
      </c>
    </row>
    <row r="5" spans="1:18" ht="13.5" thickBot="1">
      <c r="A5" s="1052" t="s">
        <v>78</v>
      </c>
      <c r="B5" s="1053"/>
      <c r="C5" s="1298"/>
      <c r="D5" s="1298"/>
      <c r="E5" s="1298"/>
      <c r="F5" s="1053"/>
      <c r="G5" s="1299"/>
      <c r="H5" s="1300"/>
      <c r="I5" s="1301"/>
      <c r="J5" s="1298"/>
      <c r="K5" s="1302"/>
      <c r="L5" s="1298"/>
      <c r="M5" s="1303"/>
      <c r="N5" s="1304"/>
      <c r="O5" s="1305"/>
      <c r="P5" s="1306"/>
      <c r="Q5" s="1307"/>
      <c r="R5" s="1308"/>
    </row>
    <row r="6" spans="1:18" ht="13.5" thickBot="1">
      <c r="A6" s="1309" t="s">
        <v>79</v>
      </c>
      <c r="B6" s="1310"/>
      <c r="C6" s="1310"/>
      <c r="D6" s="1310"/>
      <c r="E6" s="1310"/>
      <c r="F6" s="1310"/>
      <c r="G6" s="1311"/>
      <c r="H6" s="1312"/>
      <c r="I6" s="1313"/>
      <c r="J6" s="1314"/>
      <c r="K6" s="1204"/>
      <c r="L6" s="1315"/>
      <c r="M6" s="1314"/>
      <c r="N6" s="1316"/>
      <c r="O6" s="1317"/>
      <c r="P6" s="1318"/>
      <c r="Q6" s="1319"/>
      <c r="R6" s="1320" t="s">
        <v>79</v>
      </c>
    </row>
    <row r="7" spans="1:18" ht="13.5" thickBot="1">
      <c r="A7" s="1321"/>
      <c r="B7" s="1322">
        <v>201</v>
      </c>
      <c r="C7" s="803" t="s">
        <v>24</v>
      </c>
      <c r="D7" s="803"/>
      <c r="E7" s="803"/>
      <c r="F7" s="804" t="s">
        <v>25</v>
      </c>
      <c r="G7" s="1323"/>
      <c r="H7" s="1324"/>
      <c r="I7" s="1325"/>
      <c r="J7" s="1326">
        <f>Materials!F71</f>
        <v>6</v>
      </c>
      <c r="K7" s="1327" t="s">
        <v>300</v>
      </c>
      <c r="L7" s="1328">
        <v>1</v>
      </c>
      <c r="M7" s="1184">
        <f>+L7*J7</f>
        <v>6</v>
      </c>
      <c r="N7" s="1329"/>
      <c r="O7" s="1185"/>
      <c r="P7" s="1184"/>
      <c r="Q7" s="1330">
        <f>$P7+$M7+$I7</f>
        <v>6</v>
      </c>
      <c r="R7" s="1331"/>
    </row>
    <row r="8" spans="1:18" ht="26.25" thickBot="1">
      <c r="A8" s="1332" t="s">
        <v>80</v>
      </c>
      <c r="B8" s="1053"/>
      <c r="C8" s="1053"/>
      <c r="D8" s="1053"/>
      <c r="E8" s="1053"/>
      <c r="F8" s="1333"/>
      <c r="G8" s="1334">
        <f>SUM(G$7)</f>
        <v>0</v>
      </c>
      <c r="H8" s="1335"/>
      <c r="I8" s="1336">
        <f t="shared" ref="I8:Q8" si="0">SUM(I$7)</f>
        <v>0</v>
      </c>
      <c r="J8" s="1334"/>
      <c r="K8" s="1337"/>
      <c r="L8" s="1338"/>
      <c r="M8" s="1336">
        <f t="shared" si="0"/>
        <v>6</v>
      </c>
      <c r="N8" s="1334">
        <f t="shared" si="0"/>
        <v>0</v>
      </c>
      <c r="O8" s="1339"/>
      <c r="P8" s="1336">
        <f t="shared" si="0"/>
        <v>0</v>
      </c>
      <c r="Q8" s="1340">
        <f t="shared" si="0"/>
        <v>6</v>
      </c>
      <c r="R8" s="1341">
        <f>Q8</f>
        <v>6</v>
      </c>
    </row>
    <row r="9" spans="1:18" ht="13.5" thickBot="1">
      <c r="A9" s="1309" t="s">
        <v>69</v>
      </c>
      <c r="B9" s="1310"/>
      <c r="C9" s="1310"/>
      <c r="D9" s="1310"/>
      <c r="E9" s="1310"/>
      <c r="F9" s="1342"/>
      <c r="G9" s="1311"/>
      <c r="H9" s="1312"/>
      <c r="I9" s="1313"/>
      <c r="J9" s="1343"/>
      <c r="K9" s="1204"/>
      <c r="L9" s="1344"/>
      <c r="M9" s="1313"/>
      <c r="N9" s="1345"/>
      <c r="O9" s="1346"/>
      <c r="P9" s="1347"/>
      <c r="Q9" s="1319"/>
      <c r="R9" s="1320" t="s">
        <v>69</v>
      </c>
    </row>
    <row r="10" spans="1:18">
      <c r="A10" s="1321"/>
      <c r="B10" s="1322">
        <v>201</v>
      </c>
      <c r="C10" s="789" t="s">
        <v>24</v>
      </c>
      <c r="D10" s="803"/>
      <c r="E10" s="803"/>
      <c r="F10" s="804" t="s">
        <v>25</v>
      </c>
      <c r="G10" s="1323"/>
      <c r="H10" s="1324"/>
      <c r="I10" s="1325"/>
      <c r="J10" s="1348">
        <f>Materials!F71</f>
        <v>6</v>
      </c>
      <c r="K10" s="1213" t="s">
        <v>300</v>
      </c>
      <c r="L10" s="1349">
        <v>1</v>
      </c>
      <c r="M10" s="1325">
        <f>+L10*J10</f>
        <v>6</v>
      </c>
      <c r="N10" s="1323"/>
      <c r="O10" s="1220"/>
      <c r="P10" s="1325"/>
      <c r="Q10" s="1330">
        <f>$P10+$M10+$I10</f>
        <v>6</v>
      </c>
      <c r="R10" s="1331"/>
    </row>
    <row r="11" spans="1:18">
      <c r="A11" s="1350"/>
      <c r="B11" s="1351">
        <v>224</v>
      </c>
      <c r="C11" s="809" t="s">
        <v>81</v>
      </c>
      <c r="D11" s="143"/>
      <c r="E11" s="143"/>
      <c r="F11" s="809"/>
      <c r="G11" s="1352"/>
      <c r="H11" s="1324"/>
      <c r="I11" s="1325"/>
      <c r="J11" s="1353">
        <f>Materials!D70</f>
        <v>25</v>
      </c>
      <c r="K11" s="1213"/>
      <c r="L11" s="1354">
        <v>1</v>
      </c>
      <c r="M11" s="1325">
        <f>+L11*J11</f>
        <v>25</v>
      </c>
      <c r="N11" s="1408">
        <v>4.8</v>
      </c>
      <c r="O11" s="1220">
        <f>Labor!I107</f>
        <v>8.4749230769230781</v>
      </c>
      <c r="P11" s="1355">
        <f>N11*O11</f>
        <v>40.679630769230776</v>
      </c>
      <c r="Q11" s="1187">
        <f>M11+P11</f>
        <v>65.679630769230783</v>
      </c>
      <c r="R11" s="1356"/>
    </row>
    <row r="12" spans="1:18" ht="13.5" thickBot="1">
      <c r="A12" s="1350"/>
      <c r="B12" s="1351">
        <v>225</v>
      </c>
      <c r="C12" s="809" t="s">
        <v>82</v>
      </c>
      <c r="D12" s="801"/>
      <c r="E12" s="801"/>
      <c r="F12" s="809" t="s">
        <v>83</v>
      </c>
      <c r="G12" s="1323"/>
      <c r="H12" s="1324"/>
      <c r="I12" s="1325"/>
      <c r="J12" s="1357">
        <f>Materials!D61</f>
        <v>10.199999999999999</v>
      </c>
      <c r="K12" s="1213" t="s">
        <v>222</v>
      </c>
      <c r="L12" s="1354">
        <v>10</v>
      </c>
      <c r="M12" s="1325">
        <f>J12</f>
        <v>10.199999999999999</v>
      </c>
      <c r="N12" s="1408">
        <v>5</v>
      </c>
      <c r="O12" s="1220">
        <f>Labor!I107</f>
        <v>8.4749230769230781</v>
      </c>
      <c r="P12" s="1355">
        <f>N12*O12</f>
        <v>42.374615384615389</v>
      </c>
      <c r="Q12" s="1187">
        <f>M12+P12</f>
        <v>52.574615384615385</v>
      </c>
      <c r="R12" s="1356"/>
    </row>
    <row r="13" spans="1:18" ht="26.25" thickBot="1">
      <c r="A13" s="1332" t="s">
        <v>74</v>
      </c>
      <c r="B13" s="1054"/>
      <c r="C13" s="1054"/>
      <c r="D13" s="1054"/>
      <c r="E13" s="1054"/>
      <c r="F13" s="1358"/>
      <c r="G13" s="1334">
        <f>SUM(G$10:G$12)</f>
        <v>0</v>
      </c>
      <c r="H13" s="1335"/>
      <c r="I13" s="1336">
        <f>SUM(I$10:I$12)</f>
        <v>0</v>
      </c>
      <c r="J13" s="1359"/>
      <c r="K13" s="1360"/>
      <c r="L13" s="1361"/>
      <c r="M13" s="1336">
        <f>SUM(M$10:M$12)</f>
        <v>41.2</v>
      </c>
      <c r="N13" s="1362">
        <f>SUM(N$10:N$12)</f>
        <v>9.8000000000000007</v>
      </c>
      <c r="O13" s="1339"/>
      <c r="P13" s="1363">
        <f>SUM(P$10:P$12)</f>
        <v>83.054246153846165</v>
      </c>
      <c r="Q13" s="1361">
        <f>SUM(Q$10:Q$12)</f>
        <v>124.25424615384617</v>
      </c>
      <c r="R13" s="1364">
        <f>Q13</f>
        <v>124.25424615384617</v>
      </c>
    </row>
    <row r="14" spans="1:18" ht="13.5" thickBot="1">
      <c r="A14" s="1309" t="s">
        <v>84</v>
      </c>
      <c r="B14" s="1310"/>
      <c r="C14" s="1310"/>
      <c r="D14" s="1310"/>
      <c r="E14" s="1310"/>
      <c r="F14" s="1342"/>
      <c r="G14" s="1311"/>
      <c r="H14" s="1312"/>
      <c r="I14" s="1313"/>
      <c r="J14" s="1343"/>
      <c r="K14" s="1204"/>
      <c r="L14" s="1344"/>
      <c r="M14" s="1313"/>
      <c r="N14" s="1345"/>
      <c r="O14" s="1346"/>
      <c r="P14" s="1347"/>
      <c r="Q14" s="1319"/>
      <c r="R14" s="1320" t="s">
        <v>84</v>
      </c>
    </row>
    <row r="15" spans="1:18">
      <c r="A15" s="1321"/>
      <c r="B15" s="1322">
        <v>201</v>
      </c>
      <c r="C15" s="789" t="s">
        <v>24</v>
      </c>
      <c r="D15" s="803"/>
      <c r="E15" s="803"/>
      <c r="F15" s="804" t="s">
        <v>25</v>
      </c>
      <c r="G15" s="1323"/>
      <c r="H15" s="1324"/>
      <c r="I15" s="1325"/>
      <c r="J15" s="1348">
        <f>Materials!F71</f>
        <v>6</v>
      </c>
      <c r="K15" s="1213" t="s">
        <v>300</v>
      </c>
      <c r="L15" s="1349">
        <v>1</v>
      </c>
      <c r="M15" s="1325">
        <f>+L15*J15</f>
        <v>6</v>
      </c>
      <c r="N15" s="1323"/>
      <c r="O15" s="1220"/>
      <c r="P15" s="1325"/>
      <c r="Q15" s="1330">
        <f t="shared" ref="Q15:Q21" si="1">$P15+$M15+$I15</f>
        <v>6</v>
      </c>
      <c r="R15" s="1331"/>
    </row>
    <row r="16" spans="1:18">
      <c r="A16" s="1321"/>
      <c r="B16" s="1322">
        <v>227</v>
      </c>
      <c r="C16" s="789" t="s">
        <v>85</v>
      </c>
      <c r="D16" s="803"/>
      <c r="E16" s="803"/>
      <c r="F16" s="804" t="s">
        <v>214</v>
      </c>
      <c r="G16" s="1406">
        <v>3</v>
      </c>
      <c r="H16" s="1324">
        <f>Machinery!U13</f>
        <v>54.936147000000005</v>
      </c>
      <c r="I16" s="1325">
        <f>G16*H16</f>
        <v>164.80844100000002</v>
      </c>
      <c r="J16" s="1348"/>
      <c r="K16" s="1213"/>
      <c r="L16" s="1349"/>
      <c r="M16" s="1325"/>
      <c r="N16" s="1365">
        <f>G16*1.2</f>
        <v>3.5999999999999996</v>
      </c>
      <c r="O16" s="1220">
        <f>Labor!I107</f>
        <v>8.4749230769230781</v>
      </c>
      <c r="P16" s="1325">
        <f>N16*O16</f>
        <v>30.509723076923077</v>
      </c>
      <c r="Q16" s="1330">
        <f t="shared" si="1"/>
        <v>195.3181640769231</v>
      </c>
      <c r="R16" s="1366"/>
    </row>
    <row r="17" spans="1:18">
      <c r="A17" s="1321"/>
      <c r="B17" s="1322"/>
      <c r="C17" s="1367" t="s">
        <v>325</v>
      </c>
      <c r="D17" s="787"/>
      <c r="E17" s="803"/>
      <c r="F17" s="804" t="s">
        <v>86</v>
      </c>
      <c r="G17" s="1406">
        <v>3</v>
      </c>
      <c r="H17" s="1324">
        <f>Machinery!U5</f>
        <v>13.365534248000001</v>
      </c>
      <c r="I17" s="1325">
        <f>G17*H17</f>
        <v>40.096602744000002</v>
      </c>
      <c r="J17" s="1348">
        <f>Materials!D7</f>
        <v>1.25</v>
      </c>
      <c r="K17" s="1213" t="s">
        <v>60</v>
      </c>
      <c r="L17" s="1349">
        <f>Materials!B7</f>
        <v>100</v>
      </c>
      <c r="M17" s="1325">
        <f>J17*L17</f>
        <v>125</v>
      </c>
      <c r="N17" s="1365">
        <f>G17*1.2</f>
        <v>3.5999999999999996</v>
      </c>
      <c r="O17" s="1220">
        <f>Labor!I107</f>
        <v>8.4749230769230781</v>
      </c>
      <c r="P17" s="1325">
        <f>N17*O17</f>
        <v>30.509723076923077</v>
      </c>
      <c r="Q17" s="1330">
        <f t="shared" si="1"/>
        <v>195.60632582092308</v>
      </c>
      <c r="R17" s="1366"/>
    </row>
    <row r="18" spans="1:18">
      <c r="A18" s="1321"/>
      <c r="B18" s="1322"/>
      <c r="C18" s="789" t="s">
        <v>326</v>
      </c>
      <c r="D18" s="803"/>
      <c r="E18" s="803"/>
      <c r="F18" s="804"/>
      <c r="G18" s="1323"/>
      <c r="H18" s="1324"/>
      <c r="I18" s="1325"/>
      <c r="J18" s="1348">
        <f>Materials!D64</f>
        <v>72</v>
      </c>
      <c r="K18" s="1213" t="s">
        <v>20</v>
      </c>
      <c r="L18" s="1349">
        <f>Materials!B64</f>
        <v>2</v>
      </c>
      <c r="M18" s="1325">
        <f>J18*L18</f>
        <v>144</v>
      </c>
      <c r="N18" s="1365"/>
      <c r="O18" s="1220"/>
      <c r="P18" s="1325"/>
      <c r="Q18" s="1330">
        <f t="shared" si="1"/>
        <v>144</v>
      </c>
      <c r="R18" s="1366"/>
    </row>
    <row r="19" spans="1:18">
      <c r="A19" s="1321"/>
      <c r="B19" s="1322"/>
      <c r="C19" s="789" t="s">
        <v>327</v>
      </c>
      <c r="D19" s="803"/>
      <c r="E19" s="803"/>
      <c r="F19" s="804"/>
      <c r="G19" s="1323"/>
      <c r="H19" s="1324"/>
      <c r="I19" s="1325"/>
      <c r="J19" s="1348">
        <f>Materials!D65</f>
        <v>115</v>
      </c>
      <c r="K19" s="1213" t="s">
        <v>20</v>
      </c>
      <c r="L19" s="1349">
        <f>Materials!B65</f>
        <v>1</v>
      </c>
      <c r="M19" s="1325">
        <f>J19</f>
        <v>115</v>
      </c>
      <c r="N19" s="1365"/>
      <c r="O19" s="1220"/>
      <c r="P19" s="1325"/>
      <c r="Q19" s="1330">
        <f t="shared" si="1"/>
        <v>115</v>
      </c>
      <c r="R19" s="1366"/>
    </row>
    <row r="20" spans="1:18">
      <c r="A20" s="1321"/>
      <c r="B20" s="1322">
        <v>228</v>
      </c>
      <c r="C20" s="789" t="s">
        <v>87</v>
      </c>
      <c r="D20" s="803"/>
      <c r="E20" s="803"/>
      <c r="F20" s="804" t="s">
        <v>88</v>
      </c>
      <c r="G20" s="1323"/>
      <c r="H20" s="1324"/>
      <c r="I20" s="1325"/>
      <c r="J20" s="1348"/>
      <c r="K20" s="1213"/>
      <c r="L20" s="1349"/>
      <c r="M20" s="1325"/>
      <c r="N20" s="1408">
        <v>32</v>
      </c>
      <c r="O20" s="1220">
        <f>Labor!I107</f>
        <v>8.4749230769230781</v>
      </c>
      <c r="P20" s="1325">
        <f>N20*O20</f>
        <v>271.1975384615385</v>
      </c>
      <c r="Q20" s="1330">
        <f t="shared" si="1"/>
        <v>271.1975384615385</v>
      </c>
      <c r="R20" s="1366"/>
    </row>
    <row r="21" spans="1:18" ht="13.5" thickBot="1">
      <c r="A21" s="1321"/>
      <c r="B21" s="1322">
        <v>234</v>
      </c>
      <c r="C21" s="789" t="s">
        <v>89</v>
      </c>
      <c r="D21" s="803"/>
      <c r="E21" s="803"/>
      <c r="F21" s="804" t="s">
        <v>90</v>
      </c>
      <c r="G21" s="1406">
        <v>8.3330000000000002</v>
      </c>
      <c r="H21" s="1324">
        <f>Machinery!U12</f>
        <v>1.4496042</v>
      </c>
      <c r="I21" s="1325">
        <f>G21*H21</f>
        <v>12.079551798600001</v>
      </c>
      <c r="J21" s="1348"/>
      <c r="K21" s="1213"/>
      <c r="L21" s="1349"/>
      <c r="M21" s="1325"/>
      <c r="N21" s="1408">
        <v>10</v>
      </c>
      <c r="O21" s="1220">
        <f>Labor!I107</f>
        <v>8.4749230769230781</v>
      </c>
      <c r="P21" s="1325">
        <f>N21*O21</f>
        <v>84.749230769230778</v>
      </c>
      <c r="Q21" s="1330">
        <f t="shared" si="1"/>
        <v>96.828782567830785</v>
      </c>
      <c r="R21" s="1331"/>
    </row>
    <row r="22" spans="1:18" ht="13.5" thickBot="1">
      <c r="A22" s="1332" t="s">
        <v>93</v>
      </c>
      <c r="B22" s="1368"/>
      <c r="C22" s="1053"/>
      <c r="D22" s="1053"/>
      <c r="E22" s="1053"/>
      <c r="F22" s="1369"/>
      <c r="G22" s="1334">
        <f>SUM(G$15:G$21)</f>
        <v>14.333</v>
      </c>
      <c r="H22" s="1335"/>
      <c r="I22" s="1336">
        <f>SUM(I$16:I$21)</f>
        <v>216.9845955426</v>
      </c>
      <c r="J22" s="1359"/>
      <c r="K22" s="1360"/>
      <c r="L22" s="1361"/>
      <c r="M22" s="1336">
        <f>SUM(M$15:M$21)</f>
        <v>390</v>
      </c>
      <c r="N22" s="1370">
        <f>SUM(N$15:N$21)</f>
        <v>49.2</v>
      </c>
      <c r="O22" s="1339"/>
      <c r="P22" s="1336">
        <f>SUM(P$15:P$21)</f>
        <v>416.96621538461545</v>
      </c>
      <c r="Q22" s="1340">
        <f>SUM(Q$15:Q$21)</f>
        <v>1023.9508109272153</v>
      </c>
      <c r="R22" s="1341">
        <f>Q22</f>
        <v>1023.9508109272153</v>
      </c>
    </row>
    <row r="23" spans="1:18" ht="13.5" thickBot="1">
      <c r="A23" s="1309" t="s">
        <v>57</v>
      </c>
      <c r="B23" s="1371"/>
      <c r="C23" s="1310"/>
      <c r="D23" s="1310"/>
      <c r="E23" s="1310"/>
      <c r="F23" s="1372"/>
      <c r="G23" s="1311"/>
      <c r="H23" s="1312"/>
      <c r="I23" s="1313"/>
      <c r="J23" s="1373"/>
      <c r="K23" s="1204"/>
      <c r="L23" s="1344"/>
      <c r="M23" s="1313"/>
      <c r="N23" s="1345"/>
      <c r="O23" s="1346"/>
      <c r="P23" s="1313"/>
      <c r="Q23" s="1314"/>
      <c r="R23" s="1320" t="s">
        <v>57</v>
      </c>
    </row>
    <row r="24" spans="1:18">
      <c r="A24" s="1321"/>
      <c r="B24" s="1322">
        <v>201</v>
      </c>
      <c r="C24" s="789" t="s">
        <v>24</v>
      </c>
      <c r="D24" s="803"/>
      <c r="E24" s="803"/>
      <c r="F24" s="804" t="s">
        <v>25</v>
      </c>
      <c r="G24" s="1323"/>
      <c r="H24" s="1324"/>
      <c r="I24" s="1325"/>
      <c r="J24" s="1348">
        <f>Materials!F71</f>
        <v>6</v>
      </c>
      <c r="K24" s="1213" t="s">
        <v>300</v>
      </c>
      <c r="L24" s="1349">
        <v>1</v>
      </c>
      <c r="M24" s="1325">
        <f>+L24*J24</f>
        <v>6</v>
      </c>
      <c r="N24" s="1323"/>
      <c r="O24" s="1220"/>
      <c r="P24" s="1325"/>
      <c r="Q24" s="1330">
        <f>$P24+$M24+$I24</f>
        <v>6</v>
      </c>
      <c r="R24" s="1331"/>
    </row>
    <row r="25" spans="1:18">
      <c r="A25" s="1321"/>
      <c r="B25" s="1322"/>
      <c r="C25" s="789" t="s">
        <v>199</v>
      </c>
      <c r="D25" s="803"/>
      <c r="E25" s="803"/>
      <c r="F25" s="804"/>
      <c r="G25" s="1323"/>
      <c r="H25" s="1324"/>
      <c r="I25" s="1325"/>
      <c r="J25" s="1348" t="s">
        <v>7</v>
      </c>
      <c r="K25" s="1213" t="s">
        <v>7</v>
      </c>
      <c r="L25" s="1349" t="s">
        <v>7</v>
      </c>
      <c r="M25" s="1325"/>
      <c r="N25" s="1408">
        <v>0.3</v>
      </c>
      <c r="O25" s="1220">
        <f>Labor!I53</f>
        <v>15.721984615384617</v>
      </c>
      <c r="P25" s="1325">
        <f t="shared" ref="P25:P31" si="2">N25*O25</f>
        <v>4.7165953846153847</v>
      </c>
      <c r="Q25" s="1330">
        <f>$P25</f>
        <v>4.7165953846153847</v>
      </c>
      <c r="R25" s="1331"/>
    </row>
    <row r="26" spans="1:18">
      <c r="A26" s="1321"/>
      <c r="B26" s="1322"/>
      <c r="C26" s="789" t="s">
        <v>94</v>
      </c>
      <c r="D26" s="803"/>
      <c r="E26" s="803"/>
      <c r="F26" s="804" t="s">
        <v>95</v>
      </c>
      <c r="G26" s="1323"/>
      <c r="H26" s="1324"/>
      <c r="I26" s="1325"/>
      <c r="J26" s="1348">
        <f>Materials!D63</f>
        <v>3.25</v>
      </c>
      <c r="K26" s="1213" t="s">
        <v>286</v>
      </c>
      <c r="L26" s="1349">
        <f>Materials!B63</f>
        <v>109</v>
      </c>
      <c r="M26" s="1325">
        <f>J26*L26</f>
        <v>354.25</v>
      </c>
      <c r="N26" s="1408">
        <v>7</v>
      </c>
      <c r="O26" s="1220">
        <f>Labor!I107</f>
        <v>8.4749230769230781</v>
      </c>
      <c r="P26" s="1325">
        <f t="shared" si="2"/>
        <v>59.324461538461549</v>
      </c>
      <c r="Q26" s="1330">
        <f t="shared" ref="Q26:Q33" si="3">$P26+$M26+$I26</f>
        <v>413.57446153846155</v>
      </c>
      <c r="R26" s="1331"/>
    </row>
    <row r="27" spans="1:18">
      <c r="A27" s="1321"/>
      <c r="B27" s="1351">
        <v>230</v>
      </c>
      <c r="C27" s="789" t="s">
        <v>96</v>
      </c>
      <c r="D27" s="803"/>
      <c r="E27" s="803"/>
      <c r="F27" s="789"/>
      <c r="G27" s="1323"/>
      <c r="H27" s="1324"/>
      <c r="I27" s="1325"/>
      <c r="J27" s="1374"/>
      <c r="K27" s="1213"/>
      <c r="L27" s="1354"/>
      <c r="M27" s="1325"/>
      <c r="N27" s="1408">
        <v>5</v>
      </c>
      <c r="O27" s="1220">
        <f>Labor!I107</f>
        <v>8.4749230769230781</v>
      </c>
      <c r="P27" s="1325">
        <f t="shared" si="2"/>
        <v>42.374615384615389</v>
      </c>
      <c r="Q27" s="1330">
        <f t="shared" si="3"/>
        <v>42.374615384615389</v>
      </c>
      <c r="R27" s="1331"/>
    </row>
    <row r="28" spans="1:18">
      <c r="A28" s="1350"/>
      <c r="B28" s="1322">
        <v>231</v>
      </c>
      <c r="C28" s="789" t="s">
        <v>97</v>
      </c>
      <c r="D28" s="803"/>
      <c r="E28" s="803"/>
      <c r="F28" s="804" t="s">
        <v>232</v>
      </c>
      <c r="G28" s="1406">
        <v>5</v>
      </c>
      <c r="H28" s="1324">
        <f>Machinery!U5+Machinery!U6</f>
        <v>14.084135823</v>
      </c>
      <c r="I28" s="1325">
        <f>G28*H28</f>
        <v>70.420679114999999</v>
      </c>
      <c r="J28" s="1348"/>
      <c r="K28" s="1213"/>
      <c r="L28" s="1349"/>
      <c r="M28" s="1325"/>
      <c r="N28" s="1408">
        <f>G28*1.2</f>
        <v>6</v>
      </c>
      <c r="O28" s="1220">
        <f>Labor!I107</f>
        <v>8.4749230769230781</v>
      </c>
      <c r="P28" s="1325">
        <f t="shared" si="2"/>
        <v>50.849538461538472</v>
      </c>
      <c r="Q28" s="1330">
        <f t="shared" si="3"/>
        <v>121.27021757653847</v>
      </c>
      <c r="R28" s="1366"/>
    </row>
    <row r="29" spans="1:18">
      <c r="A29" s="1321"/>
      <c r="B29" s="1322">
        <v>229</v>
      </c>
      <c r="C29" s="789" t="s">
        <v>98</v>
      </c>
      <c r="D29" s="803"/>
      <c r="E29" s="803"/>
      <c r="F29" s="804" t="s">
        <v>88</v>
      </c>
      <c r="G29" s="1323"/>
      <c r="H29" s="1324"/>
      <c r="I29" s="1325"/>
      <c r="J29" s="1348"/>
      <c r="K29" s="1213"/>
      <c r="L29" s="1349"/>
      <c r="M29" s="1325"/>
      <c r="N29" s="1408">
        <v>100</v>
      </c>
      <c r="O29" s="1220">
        <f>Labor!I107</f>
        <v>8.4749230769230781</v>
      </c>
      <c r="P29" s="1325">
        <f t="shared" si="2"/>
        <v>847.4923076923078</v>
      </c>
      <c r="Q29" s="1330">
        <f t="shared" si="3"/>
        <v>847.4923076923078</v>
      </c>
      <c r="R29" s="1331"/>
    </row>
    <row r="30" spans="1:18">
      <c r="A30" s="1321"/>
      <c r="B30" s="1322">
        <v>237</v>
      </c>
      <c r="C30" s="789" t="s">
        <v>91</v>
      </c>
      <c r="D30" s="803"/>
      <c r="E30" s="803"/>
      <c r="F30" s="804" t="s">
        <v>567</v>
      </c>
      <c r="G30" s="1406">
        <v>3</v>
      </c>
      <c r="H30" s="1324">
        <f>Machinery!U18+Machinery!U17+Machinery!U19</f>
        <v>16.483727893333331</v>
      </c>
      <c r="I30" s="1325">
        <f>G30*H30</f>
        <v>49.451183679999993</v>
      </c>
      <c r="J30" s="1348"/>
      <c r="K30" s="1213"/>
      <c r="L30" s="1349"/>
      <c r="M30" s="1325"/>
      <c r="N30" s="1365">
        <f>G30/6</f>
        <v>0.5</v>
      </c>
      <c r="O30" s="1220">
        <f>Labor!I107</f>
        <v>8.4749230769230781</v>
      </c>
      <c r="P30" s="1325">
        <f t="shared" si="2"/>
        <v>4.2374615384615391</v>
      </c>
      <c r="Q30" s="1330">
        <f t="shared" si="3"/>
        <v>53.688645218461531</v>
      </c>
      <c r="R30" s="1331"/>
    </row>
    <row r="31" spans="1:18">
      <c r="A31" s="1321"/>
      <c r="B31" s="1322"/>
      <c r="C31" s="1375" t="s">
        <v>391</v>
      </c>
      <c r="D31" s="803"/>
      <c r="E31" s="803"/>
      <c r="F31" s="804"/>
      <c r="G31" s="1323"/>
      <c r="H31" s="1324"/>
      <c r="I31" s="1325"/>
      <c r="J31" s="1348">
        <f>Materials!D16</f>
        <v>0.22900000000000001</v>
      </c>
      <c r="K31" s="1213" t="s">
        <v>60</v>
      </c>
      <c r="L31" s="1349">
        <v>110</v>
      </c>
      <c r="M31" s="1325">
        <f>J31*L31</f>
        <v>25.19</v>
      </c>
      <c r="N31" s="1365">
        <v>0</v>
      </c>
      <c r="O31" s="1220">
        <f>Labor!I107</f>
        <v>8.4749230769230781</v>
      </c>
      <c r="P31" s="1325">
        <f t="shared" si="2"/>
        <v>0</v>
      </c>
      <c r="Q31" s="1330">
        <f t="shared" si="3"/>
        <v>25.19</v>
      </c>
      <c r="R31" s="1331"/>
    </row>
    <row r="32" spans="1:18">
      <c r="A32" s="1321"/>
      <c r="B32" s="1351"/>
      <c r="C32" s="789" t="s">
        <v>100</v>
      </c>
      <c r="D32" s="803"/>
      <c r="E32" s="803"/>
      <c r="F32" s="814" t="s">
        <v>233</v>
      </c>
      <c r="G32" s="1406">
        <v>0.5</v>
      </c>
      <c r="H32" s="1324">
        <f>Machinery!U5+Machinery!U9</f>
        <v>14.78363566577778</v>
      </c>
      <c r="I32" s="1325">
        <f>G32*H32</f>
        <v>7.3918178328888899</v>
      </c>
      <c r="J32" s="1374"/>
      <c r="K32" s="1213"/>
      <c r="L32" s="1354"/>
      <c r="M32" s="1325"/>
      <c r="N32" s="1365">
        <f>G32*1.2</f>
        <v>0.6</v>
      </c>
      <c r="O32" s="1220">
        <f>Labor!I107</f>
        <v>8.4749230769230781</v>
      </c>
      <c r="P32" s="1355">
        <f>N32*8.25</f>
        <v>4.95</v>
      </c>
      <c r="Q32" s="1330">
        <f t="shared" si="3"/>
        <v>12.341817832888889</v>
      </c>
      <c r="R32" s="1331"/>
    </row>
    <row r="33" spans="1:18" ht="13.5" thickBot="1">
      <c r="A33" s="1321"/>
      <c r="B33" s="1351"/>
      <c r="C33" s="789" t="s">
        <v>101</v>
      </c>
      <c r="D33" s="803"/>
      <c r="E33" s="803"/>
      <c r="F33" s="789" t="s">
        <v>102</v>
      </c>
      <c r="G33" s="1323"/>
      <c r="H33" s="1324"/>
      <c r="I33" s="1325"/>
      <c r="J33" s="1374"/>
      <c r="K33" s="1213"/>
      <c r="L33" s="1354"/>
      <c r="M33" s="1325"/>
      <c r="N33" s="1408">
        <v>1</v>
      </c>
      <c r="O33" s="1220">
        <f>Labor!I107</f>
        <v>8.4749230769230781</v>
      </c>
      <c r="P33" s="1355">
        <f>O33</f>
        <v>8.4749230769230781</v>
      </c>
      <c r="Q33" s="1330">
        <f t="shared" si="3"/>
        <v>8.4749230769230781</v>
      </c>
      <c r="R33" s="1331"/>
    </row>
    <row r="34" spans="1:18" ht="13.5" thickBot="1">
      <c r="A34" s="1332" t="s">
        <v>58</v>
      </c>
      <c r="B34" s="1368"/>
      <c r="C34" s="1053"/>
      <c r="D34" s="1053"/>
      <c r="E34" s="1053"/>
      <c r="F34" s="1369"/>
      <c r="G34" s="1334">
        <f>SUM(G$24:G$33)</f>
        <v>8.5</v>
      </c>
      <c r="H34" s="1335"/>
      <c r="I34" s="1336">
        <f>SUM(I28:I33)</f>
        <v>127.26368062788889</v>
      </c>
      <c r="J34" s="1376"/>
      <c r="K34" s="1337"/>
      <c r="L34" s="1338"/>
      <c r="M34" s="1336">
        <f>SUM(M$24:M$33)</f>
        <v>385.44</v>
      </c>
      <c r="N34" s="1370">
        <f>SUM(N$24:N$33)</f>
        <v>120.39999999999999</v>
      </c>
      <c r="O34" s="1339"/>
      <c r="P34" s="1336">
        <f>SUM(P$24:P$33)</f>
        <v>1022.4199030769233</v>
      </c>
      <c r="Q34" s="1340">
        <f>SUM(Q$24:Q$33)</f>
        <v>1535.1235837048121</v>
      </c>
      <c r="R34" s="1341">
        <f>Q34</f>
        <v>1535.1235837048121</v>
      </c>
    </row>
    <row r="35" spans="1:18" ht="13.5" thickBot="1">
      <c r="A35" s="1309" t="s">
        <v>28</v>
      </c>
      <c r="B35" s="1371"/>
      <c r="C35" s="1310"/>
      <c r="D35" s="1310"/>
      <c r="E35" s="1310"/>
      <c r="F35" s="1372"/>
      <c r="G35" s="1311"/>
      <c r="H35" s="1312"/>
      <c r="I35" s="1313"/>
      <c r="J35" s="1373"/>
      <c r="K35" s="1204"/>
      <c r="L35" s="1344"/>
      <c r="M35" s="1313"/>
      <c r="N35" s="1345"/>
      <c r="O35" s="1346"/>
      <c r="P35" s="1313"/>
      <c r="Q35" s="1314"/>
      <c r="R35" s="1320" t="s">
        <v>28</v>
      </c>
    </row>
    <row r="36" spans="1:18">
      <c r="A36" s="1321"/>
      <c r="B36" s="1322">
        <v>201</v>
      </c>
      <c r="C36" s="789" t="s">
        <v>24</v>
      </c>
      <c r="D36" s="803"/>
      <c r="E36" s="803"/>
      <c r="F36" s="804" t="s">
        <v>25</v>
      </c>
      <c r="G36" s="1323"/>
      <c r="H36" s="1324"/>
      <c r="I36" s="1325"/>
      <c r="J36" s="1348">
        <f>Materials!F71</f>
        <v>6</v>
      </c>
      <c r="K36" s="1213" t="s">
        <v>300</v>
      </c>
      <c r="L36" s="1349">
        <v>1</v>
      </c>
      <c r="M36" s="1325">
        <f>+L36*J36</f>
        <v>6</v>
      </c>
      <c r="N36" s="1323"/>
      <c r="O36" s="1220"/>
      <c r="P36" s="1325"/>
      <c r="Q36" s="1330">
        <f>$P36+$M36+$I36</f>
        <v>6</v>
      </c>
      <c r="R36" s="1331"/>
    </row>
    <row r="37" spans="1:18">
      <c r="A37" s="1321"/>
      <c r="B37" s="1322"/>
      <c r="C37" s="789" t="s">
        <v>103</v>
      </c>
      <c r="D37" s="803"/>
      <c r="E37" s="803"/>
      <c r="F37" s="804" t="s">
        <v>88</v>
      </c>
      <c r="G37" s="1323"/>
      <c r="H37" s="1324"/>
      <c r="I37" s="1325"/>
      <c r="K37" s="1213" t="s">
        <v>7</v>
      </c>
      <c r="M37" s="1325"/>
      <c r="N37" s="1408">
        <v>4</v>
      </c>
      <c r="O37" s="1220">
        <f>Labor!I107</f>
        <v>8.4749230769230781</v>
      </c>
      <c r="P37" s="1325">
        <f>+$O37*$N37</f>
        <v>33.899692307692312</v>
      </c>
      <c r="Q37" s="1330">
        <f>$P37+$M37+$I37</f>
        <v>33.899692307692312</v>
      </c>
      <c r="R37" s="1331"/>
    </row>
    <row r="38" spans="1:18">
      <c r="A38" s="1321"/>
      <c r="B38" s="1322">
        <v>209</v>
      </c>
      <c r="C38" s="789" t="s">
        <v>100</v>
      </c>
      <c r="D38" s="803"/>
      <c r="E38" s="803"/>
      <c r="F38" s="804" t="s">
        <v>233</v>
      </c>
      <c r="G38" s="1406">
        <v>0.5</v>
      </c>
      <c r="H38" s="1324">
        <f>Machinery!U5+Machinery!U9</f>
        <v>14.78363566577778</v>
      </c>
      <c r="I38" s="1325">
        <f>G38*H38</f>
        <v>7.3918178328888899</v>
      </c>
      <c r="J38" s="1348"/>
      <c r="K38" s="1213"/>
      <c r="L38" s="1349"/>
      <c r="M38" s="1325"/>
      <c r="N38" s="1365">
        <f>G38*1.2</f>
        <v>0.6</v>
      </c>
      <c r="O38" s="1220">
        <f>Labor!I107</f>
        <v>8.4749230769230781</v>
      </c>
      <c r="P38" s="1325">
        <f>+$O38*$N38</f>
        <v>5.084953846153847</v>
      </c>
      <c r="Q38" s="1330">
        <f>$P38+$M38+$I38</f>
        <v>12.476771679042738</v>
      </c>
      <c r="R38" s="1331"/>
    </row>
    <row r="39" spans="1:18">
      <c r="A39" s="1321"/>
      <c r="B39" s="1322">
        <v>237</v>
      </c>
      <c r="C39" s="789" t="s">
        <v>91</v>
      </c>
      <c r="D39" s="803"/>
      <c r="E39" s="803"/>
      <c r="F39" s="804" t="s">
        <v>567</v>
      </c>
      <c r="G39" s="1406">
        <v>3</v>
      </c>
      <c r="H39" s="1324">
        <f>Machinery!U18+Machinery!U17+Machinery!U19</f>
        <v>16.483727893333331</v>
      </c>
      <c r="I39" s="1325">
        <f>G39*H39</f>
        <v>49.451183679999993</v>
      </c>
      <c r="J39" s="1348"/>
      <c r="K39" s="1213"/>
      <c r="L39" s="1349"/>
      <c r="M39" s="1325"/>
      <c r="N39" s="1365">
        <f>G39/6</f>
        <v>0.5</v>
      </c>
      <c r="O39" s="1220">
        <f>Labor!I107</f>
        <v>8.4749230769230781</v>
      </c>
      <c r="P39" s="1325">
        <f>+$O39*$N39</f>
        <v>4.2374615384615391</v>
      </c>
      <c r="Q39" s="1330">
        <f>$P39+$M39+$I39</f>
        <v>53.688645218461531</v>
      </c>
      <c r="R39" s="1331"/>
    </row>
    <row r="40" spans="1:18" ht="13.5" thickBot="1">
      <c r="A40" s="1321"/>
      <c r="B40" s="1322"/>
      <c r="C40" s="1375" t="s">
        <v>391</v>
      </c>
      <c r="D40" s="803"/>
      <c r="E40" s="803"/>
      <c r="F40" s="804"/>
      <c r="G40" s="1323"/>
      <c r="H40" s="1324"/>
      <c r="I40" s="1325"/>
      <c r="J40" s="1348">
        <f>Materials!D16</f>
        <v>0.22900000000000001</v>
      </c>
      <c r="K40" s="1213" t="s">
        <v>60</v>
      </c>
      <c r="L40" s="1349">
        <v>110</v>
      </c>
      <c r="M40" s="1325">
        <f>J40*L40</f>
        <v>25.19</v>
      </c>
      <c r="N40" s="1365">
        <v>0</v>
      </c>
      <c r="O40" s="1220">
        <f>Labor!I107</f>
        <v>8.4749230769230781</v>
      </c>
      <c r="P40" s="1325">
        <f>+$O40*$N40</f>
        <v>0</v>
      </c>
      <c r="Q40" s="1330">
        <f>$P40+$M40+$I40</f>
        <v>25.19</v>
      </c>
      <c r="R40" s="1331"/>
    </row>
    <row r="41" spans="1:18" ht="13.5" thickBot="1">
      <c r="A41" s="1332" t="s">
        <v>29</v>
      </c>
      <c r="B41" s="1368"/>
      <c r="C41" s="1053"/>
      <c r="D41" s="1053"/>
      <c r="E41" s="1053"/>
      <c r="F41" s="1369"/>
      <c r="G41" s="1334">
        <f>SUM(G$36:G$40)</f>
        <v>3.5</v>
      </c>
      <c r="H41" s="1335"/>
      <c r="I41" s="1336">
        <f>SUM(I$36:I$40)</f>
        <v>56.843001512888883</v>
      </c>
      <c r="J41" s="1359"/>
      <c r="K41" s="1360"/>
      <c r="L41" s="1361"/>
      <c r="M41" s="1336">
        <f>SUM(M$36:M$40)</f>
        <v>31.19</v>
      </c>
      <c r="N41" s="1370">
        <f>SUM(N$36:N$40)</f>
        <v>5.0999999999999996</v>
      </c>
      <c r="O41" s="1339"/>
      <c r="P41" s="1336">
        <f>SUM(P$36:P$40)</f>
        <v>43.222107692307695</v>
      </c>
      <c r="Q41" s="1340">
        <f>SUM(Q$36:Q$40)</f>
        <v>131.25510920519659</v>
      </c>
      <c r="R41" s="1341">
        <f>I41+M41+P41</f>
        <v>131.25510920519659</v>
      </c>
    </row>
    <row r="42" spans="1:18" ht="13.5" thickBot="1">
      <c r="A42" s="1309" t="s">
        <v>105</v>
      </c>
      <c r="B42" s="1371"/>
      <c r="C42" s="1310"/>
      <c r="D42" s="1310"/>
      <c r="E42" s="1310"/>
      <c r="F42" s="1372"/>
      <c r="G42" s="1311"/>
      <c r="H42" s="1312"/>
      <c r="I42" s="1313"/>
      <c r="J42" s="1373"/>
      <c r="K42" s="1204"/>
      <c r="L42" s="1344"/>
      <c r="M42" s="1313"/>
      <c r="N42" s="1345"/>
      <c r="O42" s="1346"/>
      <c r="P42" s="1313"/>
      <c r="Q42" s="1314"/>
      <c r="R42" s="1320" t="s">
        <v>105</v>
      </c>
    </row>
    <row r="43" spans="1:18">
      <c r="A43" s="1321"/>
      <c r="B43" s="1322">
        <v>201</v>
      </c>
      <c r="C43" s="789" t="s">
        <v>24</v>
      </c>
      <c r="D43" s="803"/>
      <c r="E43" s="803"/>
      <c r="F43" s="804" t="s">
        <v>25</v>
      </c>
      <c r="G43" s="1323"/>
      <c r="H43" s="1324"/>
      <c r="I43" s="1325"/>
      <c r="J43" s="1348">
        <f>Materials!F71</f>
        <v>6</v>
      </c>
      <c r="K43" s="1213" t="s">
        <v>300</v>
      </c>
      <c r="L43" s="1349">
        <v>1</v>
      </c>
      <c r="M43" s="1325">
        <f>+$L43*$J43</f>
        <v>6</v>
      </c>
      <c r="N43" s="1323"/>
      <c r="O43" s="1220"/>
      <c r="P43" s="1325"/>
      <c r="Q43" s="1330">
        <f>$P43+$M43+$I43</f>
        <v>6</v>
      </c>
      <c r="R43" s="1331"/>
    </row>
    <row r="44" spans="1:18">
      <c r="A44" s="1321"/>
      <c r="B44" s="1322">
        <v>210</v>
      </c>
      <c r="C44" s="789" t="s">
        <v>100</v>
      </c>
      <c r="D44" s="803"/>
      <c r="E44" s="803"/>
      <c r="F44" s="804" t="s">
        <v>233</v>
      </c>
      <c r="G44" s="1406">
        <v>0.5</v>
      </c>
      <c r="H44" s="1324">
        <f>Machinery!U5+Machinery!U9</f>
        <v>14.78363566577778</v>
      </c>
      <c r="I44" s="1325">
        <f>G44*H44</f>
        <v>7.3918178328888899</v>
      </c>
      <c r="J44" s="1348"/>
      <c r="K44" s="1213"/>
      <c r="L44" s="1349"/>
      <c r="M44" s="1325"/>
      <c r="N44" s="1365">
        <f>$G44*1.2</f>
        <v>0.6</v>
      </c>
      <c r="O44" s="1220">
        <f>Labor!I107</f>
        <v>8.4749230769230781</v>
      </c>
      <c r="P44" s="1325">
        <f>$N44*$O44</f>
        <v>5.084953846153847</v>
      </c>
      <c r="Q44" s="1330">
        <f>$P44+$M44+$I44</f>
        <v>12.476771679042738</v>
      </c>
      <c r="R44" s="1331"/>
    </row>
    <row r="45" spans="1:18" ht="13.5" thickBot="1">
      <c r="A45" s="1321"/>
      <c r="B45" s="1322">
        <v>237</v>
      </c>
      <c r="C45" s="789" t="s">
        <v>106</v>
      </c>
      <c r="D45" s="803"/>
      <c r="E45" s="803"/>
      <c r="F45" s="804" t="s">
        <v>92</v>
      </c>
      <c r="G45" s="1406">
        <v>24</v>
      </c>
      <c r="H45" s="1324">
        <f>Machinery!U19+Machinery!U17+Machinery!U18</f>
        <v>16.483727893333331</v>
      </c>
      <c r="I45" s="1325">
        <f>G45*H45</f>
        <v>395.60946943999994</v>
      </c>
      <c r="J45" s="1348"/>
      <c r="K45" s="1213"/>
      <c r="L45" s="1349"/>
      <c r="M45" s="1325"/>
      <c r="N45" s="1365">
        <f>($G45/3)*0.5</f>
        <v>4</v>
      </c>
      <c r="O45" s="1220">
        <f>Labor!I107</f>
        <v>8.4749230769230781</v>
      </c>
      <c r="P45" s="1325">
        <f>$N45*$O45</f>
        <v>33.899692307692312</v>
      </c>
      <c r="Q45" s="1330">
        <f>$P45+$M45+$I45</f>
        <v>429.50916174769225</v>
      </c>
      <c r="R45" s="1331"/>
    </row>
    <row r="46" spans="1:18" ht="13.5" thickBot="1">
      <c r="A46" s="1332" t="s">
        <v>107</v>
      </c>
      <c r="B46" s="1368"/>
      <c r="C46" s="1053"/>
      <c r="D46" s="1053"/>
      <c r="E46" s="1053"/>
      <c r="F46" s="1369"/>
      <c r="G46" s="1334">
        <f>SUM(G$43:G$45)</f>
        <v>24.5</v>
      </c>
      <c r="H46" s="1335"/>
      <c r="I46" s="1336">
        <f>SUM(I$43:I$45)</f>
        <v>403.00128727288882</v>
      </c>
      <c r="J46" s="1376"/>
      <c r="K46" s="1337"/>
      <c r="L46" s="1338"/>
      <c r="M46" s="1336">
        <f>SUM(M43:M45)</f>
        <v>6</v>
      </c>
      <c r="N46" s="1370">
        <f>SUM(N$43:N$45)</f>
        <v>4.5999999999999996</v>
      </c>
      <c r="O46" s="1339"/>
      <c r="P46" s="1336">
        <f>SUM(P$43:P$45)</f>
        <v>38.984646153846157</v>
      </c>
      <c r="Q46" s="1340">
        <f>SUM(Q$43:Q$45)</f>
        <v>447.98593342673496</v>
      </c>
      <c r="R46" s="1341">
        <f>Q46</f>
        <v>447.98593342673496</v>
      </c>
    </row>
    <row r="47" spans="1:18" ht="13.5" thickBot="1">
      <c r="A47" s="1309" t="s">
        <v>108</v>
      </c>
      <c r="B47" s="1371"/>
      <c r="C47" s="1310"/>
      <c r="D47" s="1310"/>
      <c r="E47" s="1310"/>
      <c r="F47" s="1372"/>
      <c r="G47" s="1311"/>
      <c r="H47" s="1312"/>
      <c r="I47" s="1313"/>
      <c r="J47" s="1373"/>
      <c r="K47" s="1204"/>
      <c r="L47" s="1344"/>
      <c r="M47" s="1313"/>
      <c r="N47" s="1345"/>
      <c r="O47" s="1346"/>
      <c r="P47" s="1313"/>
      <c r="Q47" s="1314"/>
      <c r="R47" s="1320" t="s">
        <v>108</v>
      </c>
    </row>
    <row r="48" spans="1:18">
      <c r="A48" s="1321"/>
      <c r="B48" s="1322">
        <v>201</v>
      </c>
      <c r="C48" s="789" t="s">
        <v>24</v>
      </c>
      <c r="D48" s="803"/>
      <c r="E48" s="803"/>
      <c r="F48" s="804" t="s">
        <v>25</v>
      </c>
      <c r="G48" s="1323"/>
      <c r="H48" s="1324"/>
      <c r="I48" s="1325"/>
      <c r="J48" s="1348">
        <f>Materials!F71</f>
        <v>6</v>
      </c>
      <c r="K48" s="1213" t="s">
        <v>300</v>
      </c>
      <c r="L48" s="1349">
        <v>1</v>
      </c>
      <c r="M48" s="1325">
        <f>+L48*J48</f>
        <v>6</v>
      </c>
      <c r="N48" s="1323"/>
      <c r="O48" s="1220"/>
      <c r="P48" s="1325"/>
      <c r="Q48" s="1330">
        <f>$P48+$M48+$I48</f>
        <v>6</v>
      </c>
      <c r="R48" s="1331"/>
    </row>
    <row r="49" spans="1:18">
      <c r="A49" s="1321"/>
      <c r="B49" s="1322">
        <v>216</v>
      </c>
      <c r="C49" s="809" t="s">
        <v>100</v>
      </c>
      <c r="D49" s="801"/>
      <c r="E49" s="801"/>
      <c r="F49" s="804" t="s">
        <v>233</v>
      </c>
      <c r="G49" s="1406">
        <v>1</v>
      </c>
      <c r="H49" s="1324">
        <f>Machinery!U5+Machinery!U9</f>
        <v>14.78363566577778</v>
      </c>
      <c r="I49" s="1325">
        <f>G49*H49</f>
        <v>14.78363566577778</v>
      </c>
      <c r="J49" s="1348"/>
      <c r="K49" s="1213"/>
      <c r="L49" s="1349"/>
      <c r="M49" s="1325"/>
      <c r="N49" s="1365">
        <f>$G49*1.2</f>
        <v>1.2</v>
      </c>
      <c r="O49" s="1220">
        <f>Labor!I107</f>
        <v>8.4749230769230781</v>
      </c>
      <c r="P49" s="1325">
        <f>$O49*$N49</f>
        <v>10.169907692307694</v>
      </c>
      <c r="Q49" s="1330">
        <f>$P49+$M49+$I49</f>
        <v>24.953543358085476</v>
      </c>
      <c r="R49" s="1356"/>
    </row>
    <row r="50" spans="1:18" ht="13.5" thickBot="1">
      <c r="A50" s="1377"/>
      <c r="B50" s="1322">
        <v>237</v>
      </c>
      <c r="C50" s="809" t="s">
        <v>106</v>
      </c>
      <c r="D50" s="801"/>
      <c r="E50" s="801"/>
      <c r="F50" s="814" t="s">
        <v>92</v>
      </c>
      <c r="G50" s="1406">
        <v>30</v>
      </c>
      <c r="H50" s="1324">
        <f>H45</f>
        <v>16.483727893333331</v>
      </c>
      <c r="I50" s="1325">
        <f>G50*H50</f>
        <v>494.51183679999991</v>
      </c>
      <c r="J50" s="1348"/>
      <c r="K50" s="1213"/>
      <c r="L50" s="1349"/>
      <c r="M50" s="1325"/>
      <c r="N50" s="1365">
        <f>($G50/3)*0.5</f>
        <v>5</v>
      </c>
      <c r="O50" s="1220">
        <f>Labor!I107</f>
        <v>8.4749230769230781</v>
      </c>
      <c r="P50" s="1325">
        <f>$O50*$N50</f>
        <v>42.374615384615389</v>
      </c>
      <c r="Q50" s="1330">
        <f>$P50+$M50+$I50</f>
        <v>536.88645218461534</v>
      </c>
      <c r="R50" s="1356"/>
    </row>
    <row r="51" spans="1:18" ht="13.5" thickBot="1">
      <c r="A51" s="1332" t="s">
        <v>109</v>
      </c>
      <c r="B51" s="1368"/>
      <c r="C51" s="1053"/>
      <c r="D51" s="1053"/>
      <c r="E51" s="1053"/>
      <c r="F51" s="1369"/>
      <c r="G51" s="1334">
        <f>SUM(G$48:G$50)</f>
        <v>31</v>
      </c>
      <c r="H51" s="1335"/>
      <c r="I51" s="1336">
        <f>SUM(I$48:I$50)</f>
        <v>509.29547246577772</v>
      </c>
      <c r="J51" s="1359"/>
      <c r="K51" s="1337"/>
      <c r="L51" s="1338"/>
      <c r="M51" s="1336">
        <f>SUM(M$48:M$50)</f>
        <v>6</v>
      </c>
      <c r="N51" s="1370">
        <f>SUM(N$48:N$50)</f>
        <v>6.2</v>
      </c>
      <c r="O51" s="1339"/>
      <c r="P51" s="1336">
        <f>SUM(P$48:P$50)</f>
        <v>52.544523076923085</v>
      </c>
      <c r="Q51" s="1340">
        <f>SUM(Q$48:Q$50)</f>
        <v>567.83999554270076</v>
      </c>
      <c r="R51" s="1341">
        <f>Q51</f>
        <v>567.83999554270076</v>
      </c>
    </row>
    <row r="52" spans="1:18" ht="13.5" thickBot="1">
      <c r="A52" s="1309" t="s">
        <v>110</v>
      </c>
      <c r="B52" s="1371"/>
      <c r="C52" s="1310"/>
      <c r="D52" s="1310"/>
      <c r="E52" s="1310"/>
      <c r="F52" s="1372"/>
      <c r="G52" s="1311"/>
      <c r="H52" s="1312"/>
      <c r="I52" s="1313"/>
      <c r="J52" s="1373"/>
      <c r="K52" s="1204"/>
      <c r="L52" s="1344"/>
      <c r="M52" s="1313"/>
      <c r="N52" s="1345"/>
      <c r="O52" s="1346"/>
      <c r="P52" s="1313"/>
      <c r="Q52" s="1314"/>
      <c r="R52" s="1320" t="s">
        <v>110</v>
      </c>
    </row>
    <row r="53" spans="1:18">
      <c r="A53" s="1321"/>
      <c r="B53" s="1322">
        <v>201</v>
      </c>
      <c r="C53" s="789" t="s">
        <v>24</v>
      </c>
      <c r="D53" s="803"/>
      <c r="E53" s="803"/>
      <c r="F53" s="804" t="s">
        <v>25</v>
      </c>
      <c r="G53" s="1323"/>
      <c r="H53" s="1324"/>
      <c r="I53" s="1325"/>
      <c r="J53" s="1348">
        <f>Materials!F71</f>
        <v>6</v>
      </c>
      <c r="K53" s="1213" t="s">
        <v>300</v>
      </c>
      <c r="L53" s="1349">
        <v>1</v>
      </c>
      <c r="M53" s="1325">
        <f>+L53*J53</f>
        <v>6</v>
      </c>
      <c r="N53" s="1323"/>
      <c r="O53" s="1220"/>
      <c r="P53" s="1325"/>
      <c r="Q53" s="1330">
        <f t="shared" ref="Q53:Q59" si="4">$P53+$M53+$I53</f>
        <v>6</v>
      </c>
      <c r="R53" s="1331"/>
    </row>
    <row r="54" spans="1:18">
      <c r="A54" s="1321"/>
      <c r="B54" s="1322">
        <v>239</v>
      </c>
      <c r="C54" s="789" t="s">
        <v>104</v>
      </c>
      <c r="D54" s="803"/>
      <c r="E54" s="803"/>
      <c r="F54" s="804"/>
      <c r="G54" s="1406">
        <v>2</v>
      </c>
      <c r="H54" s="1324">
        <f>Machinery!U7</f>
        <v>0.34666666666666662</v>
      </c>
      <c r="I54" s="1325">
        <f>G54*H54</f>
        <v>0.69333333333333325</v>
      </c>
      <c r="J54" s="1348"/>
      <c r="K54" s="1213"/>
      <c r="L54" s="1349"/>
      <c r="M54" s="1325"/>
      <c r="N54" s="1408">
        <v>50</v>
      </c>
      <c r="O54" s="1220">
        <f>Labor!I107</f>
        <v>8.4749230769230781</v>
      </c>
      <c r="P54" s="1325">
        <f>N54*O54</f>
        <v>423.7461538461539</v>
      </c>
      <c r="Q54" s="1330">
        <f t="shared" si="4"/>
        <v>424.43948717948723</v>
      </c>
      <c r="R54" s="1331"/>
    </row>
    <row r="55" spans="1:18">
      <c r="A55" s="1321"/>
      <c r="B55" s="1322"/>
      <c r="C55" s="789" t="s">
        <v>576</v>
      </c>
      <c r="D55" s="803"/>
      <c r="E55" s="803"/>
      <c r="F55" s="804" t="s">
        <v>574</v>
      </c>
      <c r="G55" s="1323"/>
      <c r="H55" s="1324"/>
      <c r="I55" s="1325"/>
      <c r="J55" s="1348">
        <f>Materials!D66</f>
        <v>1000</v>
      </c>
      <c r="K55" s="1213" t="s">
        <v>575</v>
      </c>
      <c r="L55" s="1349">
        <v>0.25</v>
      </c>
      <c r="M55" s="1325">
        <f>+L55*J55</f>
        <v>250</v>
      </c>
      <c r="N55" s="1365"/>
      <c r="O55" s="1220"/>
      <c r="P55" s="1325"/>
      <c r="Q55" s="1330">
        <f t="shared" si="4"/>
        <v>250</v>
      </c>
      <c r="R55" s="1331"/>
    </row>
    <row r="56" spans="1:18">
      <c r="A56" s="1321"/>
      <c r="B56" s="1322"/>
      <c r="C56" s="789" t="s">
        <v>100</v>
      </c>
      <c r="D56" s="803"/>
      <c r="E56" s="803"/>
      <c r="F56" s="804" t="s">
        <v>233</v>
      </c>
      <c r="G56" s="1406">
        <v>0.5</v>
      </c>
      <c r="H56" s="1324">
        <f>Machinery!U5+Machinery!U9</f>
        <v>14.78363566577778</v>
      </c>
      <c r="I56" s="1325">
        <f>G56*H56</f>
        <v>7.3918178328888899</v>
      </c>
      <c r="J56" s="1348"/>
      <c r="K56" s="1213"/>
      <c r="L56" s="1349"/>
      <c r="M56" s="1325"/>
      <c r="N56" s="1365">
        <f>$G56*1.2</f>
        <v>0.6</v>
      </c>
      <c r="O56" s="1220">
        <f>Labor!I107</f>
        <v>8.4749230769230781</v>
      </c>
      <c r="P56" s="1325">
        <f>$O56*$N56</f>
        <v>5.084953846153847</v>
      </c>
      <c r="Q56" s="1330">
        <f t="shared" si="4"/>
        <v>12.476771679042738</v>
      </c>
      <c r="R56" s="1331"/>
    </row>
    <row r="57" spans="1:18">
      <c r="A57" s="1321"/>
      <c r="B57" s="1322">
        <v>237</v>
      </c>
      <c r="C57" s="789" t="s">
        <v>106</v>
      </c>
      <c r="D57" s="803"/>
      <c r="E57" s="803"/>
      <c r="F57" s="814" t="s">
        <v>92</v>
      </c>
      <c r="G57" s="1406">
        <v>24</v>
      </c>
      <c r="H57" s="1324">
        <f>H50</f>
        <v>16.483727893333331</v>
      </c>
      <c r="I57" s="1325">
        <f>G57*H57</f>
        <v>395.60946943999994</v>
      </c>
      <c r="J57" s="1348"/>
      <c r="K57" s="1213"/>
      <c r="L57" s="1349"/>
      <c r="M57" s="1325"/>
      <c r="N57" s="1365">
        <f>($G57/3)*0.5</f>
        <v>4</v>
      </c>
      <c r="O57" s="1220">
        <f>Labor!I107</f>
        <v>8.4749230769230781</v>
      </c>
      <c r="P57" s="1325">
        <f>$O57*$N57</f>
        <v>33.899692307692312</v>
      </c>
      <c r="Q57" s="1330">
        <f t="shared" si="4"/>
        <v>429.50916174769225</v>
      </c>
      <c r="R57" s="1331"/>
    </row>
    <row r="58" spans="1:18">
      <c r="A58" s="1377"/>
      <c r="B58" s="1322">
        <v>239</v>
      </c>
      <c r="C58" s="789" t="s">
        <v>104</v>
      </c>
      <c r="D58" s="803"/>
      <c r="E58" s="803"/>
      <c r="F58" s="814"/>
      <c r="G58" s="1406">
        <v>2</v>
      </c>
      <c r="H58" s="1324">
        <f>Machinery!U7</f>
        <v>0.34666666666666662</v>
      </c>
      <c r="I58" s="1325">
        <f>G58*H58</f>
        <v>0.69333333333333325</v>
      </c>
      <c r="J58" s="1348"/>
      <c r="K58" s="1213"/>
      <c r="L58" s="1349"/>
      <c r="M58" s="1325"/>
      <c r="N58" s="1408">
        <v>50</v>
      </c>
      <c r="O58" s="1220">
        <f>Labor!I107</f>
        <v>8.4749230769230781</v>
      </c>
      <c r="P58" s="1325">
        <f>$O58*$N58</f>
        <v>423.7461538461539</v>
      </c>
      <c r="Q58" s="1330">
        <f t="shared" si="4"/>
        <v>424.43948717948723</v>
      </c>
      <c r="R58" s="1331"/>
    </row>
    <row r="59" spans="1:18">
      <c r="A59" s="1377"/>
      <c r="B59" s="1378"/>
      <c r="C59" s="789" t="s">
        <v>576</v>
      </c>
      <c r="D59" s="803"/>
      <c r="E59" s="803"/>
      <c r="F59" s="804" t="s">
        <v>574</v>
      </c>
      <c r="G59" s="1323"/>
      <c r="H59" s="1324"/>
      <c r="I59" s="1325"/>
      <c r="J59" s="1348">
        <f>Materials!D66</f>
        <v>1000</v>
      </c>
      <c r="K59" s="1213" t="s">
        <v>575</v>
      </c>
      <c r="L59" s="1349">
        <v>0.25</v>
      </c>
      <c r="M59" s="1325">
        <f>+L59*J59</f>
        <v>250</v>
      </c>
      <c r="N59" s="1365"/>
      <c r="O59" s="1220"/>
      <c r="P59" s="1325"/>
      <c r="Q59" s="1330">
        <f t="shared" si="4"/>
        <v>250</v>
      </c>
      <c r="R59" s="1331"/>
    </row>
    <row r="60" spans="1:18">
      <c r="A60" s="1377"/>
      <c r="B60" s="1378"/>
      <c r="C60" s="789" t="s">
        <v>858</v>
      </c>
      <c r="D60" s="803"/>
      <c r="E60" s="803"/>
      <c r="F60" s="804"/>
      <c r="G60" s="1323"/>
      <c r="H60" s="1324"/>
      <c r="I60" s="1325"/>
      <c r="J60" s="1348"/>
      <c r="K60" s="1213"/>
      <c r="L60" s="1349"/>
      <c r="M60" s="1325"/>
      <c r="N60" s="1365"/>
      <c r="O60" s="1220"/>
      <c r="P60" s="1325"/>
      <c r="Q60" s="1330"/>
      <c r="R60" s="1331"/>
    </row>
    <row r="61" spans="1:18" ht="13.5" thickBot="1">
      <c r="A61" s="1377"/>
      <c r="B61" s="1378"/>
      <c r="C61" s="789" t="s">
        <v>859</v>
      </c>
      <c r="D61" s="803"/>
      <c r="E61" s="803"/>
      <c r="F61" s="804" t="s">
        <v>102</v>
      </c>
      <c r="G61" s="1323"/>
      <c r="H61" s="1324"/>
      <c r="I61" s="1325"/>
      <c r="J61" s="1348"/>
      <c r="K61" s="1213"/>
      <c r="L61" s="1349"/>
      <c r="M61" s="1325"/>
      <c r="N61" s="1365">
        <v>95</v>
      </c>
      <c r="O61" s="1220">
        <f>Labor!I107</f>
        <v>8.4749230769230781</v>
      </c>
      <c r="P61" s="1325">
        <f>N61*O61</f>
        <v>805.11769230769244</v>
      </c>
      <c r="Q61" s="1330">
        <f>$P61+$M61+$I61</f>
        <v>805.11769230769244</v>
      </c>
      <c r="R61" s="1331"/>
    </row>
    <row r="62" spans="1:18" ht="26.25" thickBot="1">
      <c r="A62" s="1332" t="s">
        <v>111</v>
      </c>
      <c r="B62" s="1368"/>
      <c r="C62" s="1053"/>
      <c r="D62" s="1053"/>
      <c r="E62" s="1053"/>
      <c r="F62" s="1369"/>
      <c r="G62" s="1334">
        <f>SUM(G$53:G$58)</f>
        <v>28.5</v>
      </c>
      <c r="H62" s="1335"/>
      <c r="I62" s="1336">
        <f>SUM(I$53:I$59)</f>
        <v>404.38795393955547</v>
      </c>
      <c r="J62" s="1376"/>
      <c r="K62" s="1337"/>
      <c r="L62" s="1338"/>
      <c r="M62" s="1336">
        <f>SUM(M$53:M$59)</f>
        <v>506</v>
      </c>
      <c r="N62" s="1370">
        <f>SUM(N$53:N$59)</f>
        <v>104.6</v>
      </c>
      <c r="O62" s="1339"/>
      <c r="P62" s="1336">
        <f>SUM(P$53:P$61)</f>
        <v>1691.5946461538465</v>
      </c>
      <c r="Q62" s="1340">
        <f>SUM(Q$53:Q$61)</f>
        <v>2601.9826000934022</v>
      </c>
      <c r="R62" s="1341">
        <f>Q62</f>
        <v>2601.9826000934022</v>
      </c>
    </row>
    <row r="63" spans="1:18" ht="26.25" thickBot="1">
      <c r="A63" s="1379" t="s">
        <v>112</v>
      </c>
      <c r="B63" s="1380"/>
      <c r="C63" s="1310"/>
      <c r="D63" s="1310"/>
      <c r="E63" s="1310"/>
      <c r="F63" s="1372"/>
      <c r="G63" s="1311"/>
      <c r="H63" s="1312"/>
      <c r="I63" s="1313"/>
      <c r="J63" s="1373"/>
      <c r="K63" s="1204"/>
      <c r="L63" s="1344"/>
      <c r="M63" s="1313"/>
      <c r="N63" s="1345"/>
      <c r="O63" s="1346"/>
      <c r="P63" s="1313"/>
      <c r="Q63" s="1314"/>
      <c r="R63" s="1320" t="s">
        <v>112</v>
      </c>
    </row>
    <row r="64" spans="1:18">
      <c r="A64" s="1321"/>
      <c r="B64" s="1322">
        <v>201</v>
      </c>
      <c r="C64" s="789" t="s">
        <v>24</v>
      </c>
      <c r="D64" s="803"/>
      <c r="E64" s="803"/>
      <c r="F64" s="804" t="s">
        <v>25</v>
      </c>
      <c r="G64" s="1323"/>
      <c r="H64" s="1324"/>
      <c r="I64" s="1325"/>
      <c r="J64" s="1348">
        <f>Materials!F71</f>
        <v>6</v>
      </c>
      <c r="K64" s="1213" t="s">
        <v>300</v>
      </c>
      <c r="L64" s="1349">
        <v>1</v>
      </c>
      <c r="M64" s="1325">
        <f>+L64*J64</f>
        <v>6</v>
      </c>
      <c r="N64" s="1323"/>
      <c r="O64" s="1220"/>
      <c r="P64" s="1325"/>
      <c r="Q64" s="1330">
        <f t="shared" ref="Q64:Q71" si="5">$P64+$M64+$I64</f>
        <v>6</v>
      </c>
      <c r="R64" s="1331"/>
    </row>
    <row r="65" spans="1:18">
      <c r="A65" s="1321"/>
      <c r="B65" s="1322">
        <v>239</v>
      </c>
      <c r="C65" s="789" t="s">
        <v>104</v>
      </c>
      <c r="D65" s="803"/>
      <c r="E65" s="803"/>
      <c r="F65" s="804"/>
      <c r="G65" s="1406">
        <v>2</v>
      </c>
      <c r="H65" s="1324">
        <f>Machinery!U7</f>
        <v>0.34666666666666662</v>
      </c>
      <c r="I65" s="1325">
        <f>G65*H65</f>
        <v>0.69333333333333325</v>
      </c>
      <c r="J65" s="1348"/>
      <c r="K65" s="1213"/>
      <c r="L65" s="1349"/>
      <c r="M65" s="1325"/>
      <c r="N65" s="1408">
        <v>50</v>
      </c>
      <c r="O65" s="1220">
        <f>Labor!I107</f>
        <v>8.4749230769230781</v>
      </c>
      <c r="P65" s="1325">
        <f>$N65*$O65</f>
        <v>423.7461538461539</v>
      </c>
      <c r="Q65" s="1330">
        <f t="shared" si="5"/>
        <v>424.43948717948723</v>
      </c>
      <c r="R65" s="1331"/>
    </row>
    <row r="66" spans="1:18">
      <c r="A66" s="1321"/>
      <c r="B66" s="1322"/>
      <c r="C66" s="789" t="s">
        <v>576</v>
      </c>
      <c r="D66" s="803"/>
      <c r="E66" s="803"/>
      <c r="F66" s="804" t="s">
        <v>574</v>
      </c>
      <c r="G66" s="1323"/>
      <c r="H66" s="1324"/>
      <c r="I66" s="1325"/>
      <c r="J66" s="1348">
        <f>Materials!D66</f>
        <v>1000</v>
      </c>
      <c r="K66" s="1213" t="s">
        <v>575</v>
      </c>
      <c r="L66" s="1349">
        <v>0.25</v>
      </c>
      <c r="M66" s="1325">
        <f>+L66*J66</f>
        <v>250</v>
      </c>
      <c r="N66" s="1365"/>
      <c r="O66" s="1220"/>
      <c r="P66" s="1325"/>
      <c r="Q66" s="1330">
        <f t="shared" si="5"/>
        <v>250</v>
      </c>
      <c r="R66" s="1331"/>
    </row>
    <row r="67" spans="1:18">
      <c r="A67" s="1321"/>
      <c r="B67" s="1322">
        <v>204</v>
      </c>
      <c r="C67" s="789" t="s">
        <v>114</v>
      </c>
      <c r="D67" s="803"/>
      <c r="E67" s="803"/>
      <c r="F67" s="814" t="s">
        <v>234</v>
      </c>
      <c r="G67" s="1406">
        <v>0.41699999999999998</v>
      </c>
      <c r="H67" s="1324">
        <f>Machinery!U5+Machinery!U6</f>
        <v>14.084135823</v>
      </c>
      <c r="I67" s="1325">
        <f>G67*H67</f>
        <v>5.873084638191</v>
      </c>
      <c r="J67" s="1348"/>
      <c r="K67" s="1213"/>
      <c r="L67" s="1349"/>
      <c r="M67" s="1325"/>
      <c r="N67" s="1365">
        <f>$G67*1.2</f>
        <v>0.50039999999999996</v>
      </c>
      <c r="O67" s="1220">
        <f>Labor!I107</f>
        <v>8.4749230769230781</v>
      </c>
      <c r="P67" s="1325">
        <f>$O67*$N67</f>
        <v>4.2408515076923079</v>
      </c>
      <c r="Q67" s="1330">
        <f t="shared" si="5"/>
        <v>10.113936145883308</v>
      </c>
      <c r="R67" s="1331"/>
    </row>
    <row r="68" spans="1:18">
      <c r="A68" s="1321"/>
      <c r="B68" s="1219"/>
      <c r="C68" s="809" t="s">
        <v>328</v>
      </c>
      <c r="E68" s="816"/>
      <c r="F68" s="814"/>
      <c r="G68" s="1209"/>
      <c r="H68" s="1210"/>
      <c r="I68" s="1211"/>
      <c r="J68" s="1212">
        <f>Materials!D21</f>
        <v>3.52</v>
      </c>
      <c r="K68" s="1213" t="s">
        <v>26</v>
      </c>
      <c r="L68" s="1214">
        <f>Materials!B21</f>
        <v>1</v>
      </c>
      <c r="M68" s="1211">
        <f>J68*L68</f>
        <v>3.52</v>
      </c>
      <c r="N68" s="1381"/>
      <c r="O68" s="1215"/>
      <c r="P68" s="1216"/>
      <c r="Q68" s="1330">
        <f t="shared" si="5"/>
        <v>3.52</v>
      </c>
      <c r="R68" s="1188"/>
    </row>
    <row r="69" spans="1:18">
      <c r="A69" s="1321"/>
      <c r="B69" s="1322">
        <v>239</v>
      </c>
      <c r="C69" s="809" t="s">
        <v>104</v>
      </c>
      <c r="D69" s="801"/>
      <c r="E69" s="801"/>
      <c r="F69" s="814"/>
      <c r="G69" s="1406">
        <v>2</v>
      </c>
      <c r="H69" s="1324">
        <f>Machinery!U7</f>
        <v>0.34666666666666662</v>
      </c>
      <c r="I69" s="1325">
        <f>G69*H69</f>
        <v>0.69333333333333325</v>
      </c>
      <c r="J69" s="1348"/>
      <c r="K69" s="1213"/>
      <c r="L69" s="1349"/>
      <c r="M69" s="1325"/>
      <c r="N69" s="1408">
        <v>50</v>
      </c>
      <c r="O69" s="1220">
        <f>Labor!I107</f>
        <v>8.4749230769230781</v>
      </c>
      <c r="P69" s="1325">
        <f>$O69*$N69</f>
        <v>423.7461538461539</v>
      </c>
      <c r="Q69" s="1330">
        <f t="shared" si="5"/>
        <v>424.43948717948723</v>
      </c>
      <c r="R69" s="1188"/>
    </row>
    <row r="70" spans="1:18">
      <c r="A70" s="1218"/>
      <c r="B70" s="1322"/>
      <c r="C70" s="789" t="s">
        <v>100</v>
      </c>
      <c r="D70" s="803"/>
      <c r="E70" s="803"/>
      <c r="F70" s="804" t="s">
        <v>233</v>
      </c>
      <c r="G70" s="1406">
        <v>0.5</v>
      </c>
      <c r="H70" s="1324">
        <f>Machinery!U5+Machinery!U9</f>
        <v>14.78363566577778</v>
      </c>
      <c r="I70" s="1325">
        <f>G70*H70</f>
        <v>7.3918178328888899</v>
      </c>
      <c r="J70" s="1348"/>
      <c r="K70" s="1213"/>
      <c r="L70" s="1349"/>
      <c r="M70" s="1325"/>
      <c r="N70" s="1365">
        <f>$G70*1.2</f>
        <v>0.6</v>
      </c>
      <c r="O70" s="1220">
        <f>Labor!I107</f>
        <v>8.4749230769230781</v>
      </c>
      <c r="P70" s="1325">
        <f>$O70*$N70</f>
        <v>5.084953846153847</v>
      </c>
      <c r="Q70" s="1330">
        <f t="shared" si="5"/>
        <v>12.476771679042738</v>
      </c>
      <c r="R70" s="1356"/>
    </row>
    <row r="71" spans="1:18" ht="13.5" thickBot="1">
      <c r="A71" s="1218"/>
      <c r="B71" s="1382"/>
      <c r="C71" s="789" t="s">
        <v>576</v>
      </c>
      <c r="D71" s="803"/>
      <c r="E71" s="803"/>
      <c r="F71" s="804" t="s">
        <v>574</v>
      </c>
      <c r="G71" s="1323"/>
      <c r="H71" s="1324"/>
      <c r="I71" s="1325"/>
      <c r="J71" s="1348">
        <f>Materials!D66</f>
        <v>1000</v>
      </c>
      <c r="K71" s="1213" t="s">
        <v>575</v>
      </c>
      <c r="L71" s="1349">
        <v>0.25</v>
      </c>
      <c r="M71" s="1325">
        <f>+L71*J71</f>
        <v>250</v>
      </c>
      <c r="N71" s="1365"/>
      <c r="O71" s="1220"/>
      <c r="P71" s="1325"/>
      <c r="Q71" s="1330">
        <f t="shared" si="5"/>
        <v>250</v>
      </c>
      <c r="R71" s="1356"/>
    </row>
    <row r="72" spans="1:18" ht="13.5" thickBot="1">
      <c r="A72" s="1176" t="s">
        <v>115</v>
      </c>
      <c r="B72" s="1368"/>
      <c r="C72" s="1053"/>
      <c r="D72" s="1053"/>
      <c r="E72" s="1053"/>
      <c r="F72" s="1369"/>
      <c r="G72" s="1334">
        <f>SUM(G$64:G$70)</f>
        <v>4.9169999999999998</v>
      </c>
      <c r="H72" s="1335"/>
      <c r="I72" s="1336">
        <f>SUM(I$64:I$71)</f>
        <v>14.651569137746556</v>
      </c>
      <c r="J72" s="1376"/>
      <c r="K72" s="1337"/>
      <c r="L72" s="1338"/>
      <c r="M72" s="1336">
        <f>SUM(M$64:M$71)</f>
        <v>509.52</v>
      </c>
      <c r="N72" s="1370">
        <f>SUM(N$64:N$71)</f>
        <v>101.10039999999999</v>
      </c>
      <c r="O72" s="1339"/>
      <c r="P72" s="1336">
        <f>SUM(P$64:P$71)</f>
        <v>856.81811304615394</v>
      </c>
      <c r="Q72" s="1340">
        <f>SUM(Q$64:Q$71)</f>
        <v>1380.9896821839004</v>
      </c>
      <c r="R72" s="1341">
        <f>Q72</f>
        <v>1380.9896821839004</v>
      </c>
    </row>
    <row r="73" spans="1:18" ht="13.5" thickBot="1">
      <c r="A73" s="1379" t="s">
        <v>116</v>
      </c>
      <c r="B73" s="1380"/>
      <c r="C73" s="1310"/>
      <c r="D73" s="1310"/>
      <c r="E73" s="1310"/>
      <c r="F73" s="1372"/>
      <c r="G73" s="1311"/>
      <c r="H73" s="1312"/>
      <c r="I73" s="1313"/>
      <c r="J73" s="1373"/>
      <c r="K73" s="1204"/>
      <c r="L73" s="1344"/>
      <c r="M73" s="1313"/>
      <c r="N73" s="1345"/>
      <c r="O73" s="1346"/>
      <c r="P73" s="1313"/>
      <c r="Q73" s="1314"/>
      <c r="R73" s="1320" t="s">
        <v>116</v>
      </c>
    </row>
    <row r="74" spans="1:18" ht="13.5" thickBot="1">
      <c r="A74" s="1321"/>
      <c r="B74" s="1322">
        <v>201</v>
      </c>
      <c r="C74" s="789" t="s">
        <v>24</v>
      </c>
      <c r="D74" s="803"/>
      <c r="E74" s="803"/>
      <c r="F74" s="804" t="s">
        <v>25</v>
      </c>
      <c r="G74" s="1323"/>
      <c r="H74" s="1324"/>
      <c r="I74" s="1325"/>
      <c r="J74" s="1348">
        <f>Materials!F71</f>
        <v>6</v>
      </c>
      <c r="K74" s="1383" t="s">
        <v>300</v>
      </c>
      <c r="L74" s="1349">
        <v>3</v>
      </c>
      <c r="M74" s="1325">
        <f>+L74*J74</f>
        <v>18</v>
      </c>
      <c r="N74" s="1323"/>
      <c r="O74" s="1220"/>
      <c r="P74" s="1325"/>
      <c r="Q74" s="1330">
        <f>$P74+$M74+$I74</f>
        <v>18</v>
      </c>
      <c r="R74" s="1331"/>
    </row>
    <row r="75" spans="1:18" ht="13.5" thickBot="1">
      <c r="A75" s="1189" t="s">
        <v>117</v>
      </c>
      <c r="B75" s="1384"/>
      <c r="C75" s="1053"/>
      <c r="D75" s="1053"/>
      <c r="E75" s="1053"/>
      <c r="F75" s="1369"/>
      <c r="G75" s="1334">
        <f>SUM(G$74:G$74)</f>
        <v>0</v>
      </c>
      <c r="H75" s="1335"/>
      <c r="I75" s="1336">
        <f>SUM(I$74:I$74)</f>
        <v>0</v>
      </c>
      <c r="J75" s="1385"/>
      <c r="K75" s="1386"/>
      <c r="L75" s="1387"/>
      <c r="M75" s="1336">
        <f>SUM(M$74:M$74)</f>
        <v>18</v>
      </c>
      <c r="N75" s="1362">
        <f>SUM(N$74:N$74)</f>
        <v>0</v>
      </c>
      <c r="O75" s="1339"/>
      <c r="P75" s="1388">
        <f>SUM(P$74:P$74)</f>
        <v>0</v>
      </c>
      <c r="Q75" s="1340">
        <f>SUM(Q$74:Q$74)</f>
        <v>18</v>
      </c>
      <c r="R75" s="1341">
        <f>Q75</f>
        <v>18</v>
      </c>
    </row>
    <row r="76" spans="1:18" ht="13.5" thickBot="1">
      <c r="A76" s="309" t="s">
        <v>48</v>
      </c>
      <c r="B76" s="1371"/>
      <c r="C76" s="1316"/>
      <c r="D76" s="1310"/>
      <c r="E76" s="1310"/>
      <c r="F76" s="1372"/>
      <c r="G76" s="1311"/>
      <c r="H76" s="1312"/>
      <c r="I76" s="1313"/>
      <c r="J76" s="1373"/>
      <c r="K76" s="1204"/>
      <c r="L76" s="1344"/>
      <c r="M76" s="1313"/>
      <c r="N76" s="1311"/>
      <c r="O76" s="1346"/>
      <c r="P76" s="1313"/>
      <c r="Q76" s="1314"/>
      <c r="R76" s="1389" t="s">
        <v>44</v>
      </c>
    </row>
    <row r="77" spans="1:18">
      <c r="A77" s="1321"/>
      <c r="B77" s="1322">
        <v>216</v>
      </c>
      <c r="C77" s="789" t="s">
        <v>38</v>
      </c>
      <c r="D77" s="803"/>
      <c r="E77" s="803"/>
      <c r="F77" s="804" t="s">
        <v>39</v>
      </c>
      <c r="G77" s="1323"/>
      <c r="H77" s="1324"/>
      <c r="I77" s="1325"/>
      <c r="J77" s="1348">
        <f>+Materials!D100</f>
        <v>16</v>
      </c>
      <c r="K77" s="1213" t="s">
        <v>286</v>
      </c>
      <c r="L77" s="1349">
        <v>1</v>
      </c>
      <c r="M77" s="1325">
        <f t="shared" ref="M77:M82" si="6">$J77*L77</f>
        <v>16</v>
      </c>
      <c r="N77" s="1323"/>
      <c r="O77" s="1220"/>
      <c r="P77" s="1325"/>
      <c r="Q77" s="1330">
        <f t="shared" ref="Q77:Q82" si="7">$M77+$I77+$P77</f>
        <v>16</v>
      </c>
      <c r="R77" s="1331"/>
    </row>
    <row r="78" spans="1:18">
      <c r="A78" s="1321"/>
      <c r="B78" s="1322">
        <v>217</v>
      </c>
      <c r="C78" s="789" t="s">
        <v>40</v>
      </c>
      <c r="D78" s="803"/>
      <c r="E78" s="803"/>
      <c r="F78" s="804" t="s">
        <v>41</v>
      </c>
      <c r="G78" s="1323"/>
      <c r="H78" s="1324"/>
      <c r="I78" s="1325"/>
      <c r="J78" s="1348">
        <f>+Materials!D101</f>
        <v>10</v>
      </c>
      <c r="K78" s="1213" t="s">
        <v>286</v>
      </c>
      <c r="L78" s="1349">
        <v>1</v>
      </c>
      <c r="M78" s="1325">
        <f t="shared" si="6"/>
        <v>10</v>
      </c>
      <c r="N78" s="1323"/>
      <c r="O78" s="1220"/>
      <c r="P78" s="1325"/>
      <c r="Q78" s="1330">
        <f t="shared" si="7"/>
        <v>10</v>
      </c>
      <c r="R78" s="1331"/>
    </row>
    <row r="79" spans="1:18">
      <c r="A79" s="1321"/>
      <c r="B79" s="1322">
        <v>218</v>
      </c>
      <c r="C79" s="789" t="s">
        <v>42</v>
      </c>
      <c r="D79" s="803"/>
      <c r="E79" s="803"/>
      <c r="F79" s="804" t="s">
        <v>43</v>
      </c>
      <c r="G79" s="1323"/>
      <c r="H79" s="1324"/>
      <c r="I79" s="1325"/>
      <c r="J79" s="1348">
        <f>+Materials!D102</f>
        <v>100</v>
      </c>
      <c r="K79" s="1213" t="s">
        <v>286</v>
      </c>
      <c r="L79" s="1349">
        <v>1</v>
      </c>
      <c r="M79" s="1325">
        <f t="shared" si="6"/>
        <v>100</v>
      </c>
      <c r="N79" s="1323"/>
      <c r="O79" s="1220"/>
      <c r="P79" s="1325"/>
      <c r="Q79" s="1330">
        <f t="shared" si="7"/>
        <v>100</v>
      </c>
      <c r="R79" s="1331"/>
    </row>
    <row r="80" spans="1:18">
      <c r="A80" s="1321"/>
      <c r="B80" s="1322">
        <v>219</v>
      </c>
      <c r="C80" s="789" t="s">
        <v>45</v>
      </c>
      <c r="D80" s="803"/>
      <c r="E80" s="803"/>
      <c r="F80" s="804" t="s">
        <v>45</v>
      </c>
      <c r="G80" s="1323"/>
      <c r="H80" s="1324"/>
      <c r="I80" s="1325"/>
      <c r="J80" s="1348">
        <f>+Materials!D103</f>
        <v>35</v>
      </c>
      <c r="K80" s="1213" t="s">
        <v>286</v>
      </c>
      <c r="L80" s="1349">
        <v>1</v>
      </c>
      <c r="M80" s="1325">
        <f t="shared" si="6"/>
        <v>35</v>
      </c>
      <c r="N80" s="1323"/>
      <c r="O80" s="1220"/>
      <c r="P80" s="1325"/>
      <c r="Q80" s="1330">
        <f t="shared" si="7"/>
        <v>35</v>
      </c>
      <c r="R80" s="1331"/>
    </row>
    <row r="81" spans="1:18">
      <c r="A81" s="1321"/>
      <c r="B81" s="1322">
        <v>220</v>
      </c>
      <c r="C81" s="789" t="s">
        <v>46</v>
      </c>
      <c r="D81" s="803"/>
      <c r="E81" s="803"/>
      <c r="F81" s="804" t="s">
        <v>47</v>
      </c>
      <c r="G81" s="1323"/>
      <c r="H81" s="1324"/>
      <c r="I81" s="1325"/>
      <c r="J81" s="1348">
        <f>+Materials!D104</f>
        <v>25</v>
      </c>
      <c r="K81" s="1213" t="s">
        <v>286</v>
      </c>
      <c r="L81" s="1349">
        <v>1</v>
      </c>
      <c r="M81" s="1325">
        <f t="shared" si="6"/>
        <v>25</v>
      </c>
      <c r="N81" s="1323"/>
      <c r="O81" s="1220"/>
      <c r="P81" s="1325"/>
      <c r="Q81" s="1330">
        <f t="shared" si="7"/>
        <v>25</v>
      </c>
      <c r="R81" s="1331"/>
    </row>
    <row r="82" spans="1:18" ht="13.5" thickBot="1">
      <c r="A82" s="1321"/>
      <c r="B82" s="1322">
        <v>241</v>
      </c>
      <c r="C82" s="789" t="s">
        <v>118</v>
      </c>
      <c r="D82" s="803"/>
      <c r="E82" s="803"/>
      <c r="F82" s="804" t="s">
        <v>119</v>
      </c>
      <c r="G82" s="1323"/>
      <c r="H82" s="1324"/>
      <c r="I82" s="1325"/>
      <c r="J82" s="1407">
        <v>165.64</v>
      </c>
      <c r="K82" s="1213" t="s">
        <v>286</v>
      </c>
      <c r="L82" s="1349">
        <v>1</v>
      </c>
      <c r="M82" s="1325">
        <f t="shared" si="6"/>
        <v>165.64</v>
      </c>
      <c r="N82" s="1323"/>
      <c r="O82" s="1220"/>
      <c r="P82" s="1325"/>
      <c r="Q82" s="1330">
        <f t="shared" si="7"/>
        <v>165.64</v>
      </c>
      <c r="R82" s="1331"/>
    </row>
    <row r="83" spans="1:18" ht="13.5" thickBot="1">
      <c r="A83" s="1189" t="s">
        <v>49</v>
      </c>
      <c r="B83" s="1368"/>
      <c r="C83" s="1053"/>
      <c r="D83" s="1053"/>
      <c r="E83" s="1053"/>
      <c r="F83" s="1369"/>
      <c r="G83" s="1334">
        <f>SUM(G$77:G$82)</f>
        <v>0</v>
      </c>
      <c r="H83" s="1335"/>
      <c r="I83" s="1336">
        <f>SUM(I$77:I$82)</f>
        <v>0</v>
      </c>
      <c r="J83" s="1376"/>
      <c r="K83" s="1337"/>
      <c r="L83" s="1338"/>
      <c r="M83" s="1336">
        <f>SUM(M$77:M$82)</f>
        <v>351.64</v>
      </c>
      <c r="N83" s="1370">
        <f>SUM(N$77:N$82)</f>
        <v>0</v>
      </c>
      <c r="O83" s="1339"/>
      <c r="P83" s="1336">
        <f>SUM(P$77:P$82)</f>
        <v>0</v>
      </c>
      <c r="Q83" s="1340">
        <f>SUM(Q$77:Q$82)</f>
        <v>351.64</v>
      </c>
      <c r="R83" s="1341">
        <f>Q83</f>
        <v>351.64</v>
      </c>
    </row>
    <row r="84" spans="1:18" ht="13.5" thickBot="1">
      <c r="A84" s="1168" t="s">
        <v>50</v>
      </c>
      <c r="B84" s="1371"/>
      <c r="C84" s="1310"/>
      <c r="D84" s="1310"/>
      <c r="E84" s="1310"/>
      <c r="F84" s="1372"/>
      <c r="G84" s="1311"/>
      <c r="H84" s="1312"/>
      <c r="I84" s="1313"/>
      <c r="J84" s="1373"/>
      <c r="K84" s="1204"/>
      <c r="L84" s="1344"/>
      <c r="M84" s="1313"/>
      <c r="N84" s="1311"/>
      <c r="O84" s="1346"/>
      <c r="P84" s="1313"/>
      <c r="Q84" s="1314"/>
      <c r="R84" s="1320" t="s">
        <v>55</v>
      </c>
    </row>
    <row r="85" spans="1:18">
      <c r="A85" s="1321"/>
      <c r="B85" s="1322">
        <v>221</v>
      </c>
      <c r="C85" s="789" t="s">
        <v>51</v>
      </c>
      <c r="D85" s="803"/>
      <c r="E85" s="803"/>
      <c r="F85" s="804" t="s">
        <v>52</v>
      </c>
      <c r="G85" s="1406">
        <v>5</v>
      </c>
      <c r="H85" s="1324">
        <f>Machinery!V23</f>
        <v>15.64</v>
      </c>
      <c r="I85" s="1325">
        <f>G85*H85</f>
        <v>78.2</v>
      </c>
      <c r="J85" s="1348"/>
      <c r="K85" s="1213"/>
      <c r="L85" s="1349"/>
      <c r="M85" s="1325"/>
      <c r="N85" s="1365">
        <f>$G85*1.2</f>
        <v>6</v>
      </c>
      <c r="O85" s="1220">
        <f>Labor!I107</f>
        <v>8.4749230769230781</v>
      </c>
      <c r="P85" s="1325">
        <f>$N85*$O85</f>
        <v>50.849538461538472</v>
      </c>
      <c r="Q85" s="1330">
        <f>$P85+$M85+$I85</f>
        <v>129.04953846153848</v>
      </c>
      <c r="R85" s="1331"/>
    </row>
    <row r="86" spans="1:18" ht="13.5" thickBot="1">
      <c r="A86" s="1321"/>
      <c r="B86" s="1322">
        <v>223</v>
      </c>
      <c r="C86" s="789" t="s">
        <v>53</v>
      </c>
      <c r="D86" s="803"/>
      <c r="E86" s="803"/>
      <c r="F86" s="804"/>
      <c r="G86" s="1323"/>
      <c r="H86" s="1324"/>
      <c r="I86" s="1325"/>
      <c r="J86" s="1348">
        <f>+Materials!D105</f>
        <v>70</v>
      </c>
      <c r="K86" s="1213" t="s">
        <v>286</v>
      </c>
      <c r="L86" s="1349">
        <v>1</v>
      </c>
      <c r="M86" s="1325">
        <f>$J86*L86</f>
        <v>70</v>
      </c>
      <c r="N86" s="1365"/>
      <c r="O86" s="1220"/>
      <c r="P86" s="1325"/>
      <c r="Q86" s="1330">
        <f>$P86+$M86+$I86</f>
        <v>70</v>
      </c>
      <c r="R86" s="1331"/>
    </row>
    <row r="87" spans="1:18" ht="13.5" thickBot="1">
      <c r="A87" s="1189" t="s">
        <v>54</v>
      </c>
      <c r="B87" s="1190"/>
      <c r="C87" s="1053"/>
      <c r="D87" s="1053"/>
      <c r="E87" s="1053"/>
      <c r="F87" s="1390"/>
      <c r="G87" s="1334">
        <f>SUM(G$85:G$86)</f>
        <v>5</v>
      </c>
      <c r="H87" s="1335"/>
      <c r="I87" s="1336">
        <f>SUM(I$85:I$86)</f>
        <v>78.2</v>
      </c>
      <c r="J87" s="1376"/>
      <c r="K87" s="1337"/>
      <c r="L87" s="1338"/>
      <c r="M87" s="1336">
        <f>SUM(M$85:M$86)</f>
        <v>70</v>
      </c>
      <c r="N87" s="1370">
        <f>SUM(N$85:N$86)</f>
        <v>6</v>
      </c>
      <c r="O87" s="1339"/>
      <c r="P87" s="1336">
        <f>SUM(P$85:P$86)</f>
        <v>50.849538461538472</v>
      </c>
      <c r="Q87" s="1340">
        <f>SUM(Q$85:Q$86)</f>
        <v>199.04953846153848</v>
      </c>
      <c r="R87" s="1341">
        <f>Q87</f>
        <v>199.04953846153848</v>
      </c>
    </row>
    <row r="88" spans="1:18" ht="13.5" thickBot="1">
      <c r="A88" s="1168" t="s">
        <v>120</v>
      </c>
      <c r="B88" s="1391"/>
      <c r="C88" s="1392"/>
      <c r="D88" s="1393"/>
      <c r="E88" s="1393"/>
      <c r="F88" s="1394"/>
      <c r="G88" s="1395">
        <f>SUM(G$87+G$83+G$75+G$72+G$62+G$51+G$46+G$41+G$34+G$22+G$13+G$8)</f>
        <v>120.25</v>
      </c>
      <c r="H88" s="1396"/>
      <c r="I88" s="1397">
        <f>SUM(I$87+I$83+I$75+I$72+I$62+I$51+I$46+I$41+I$34+I$22+I$13+I$8)</f>
        <v>1810.6275604993461</v>
      </c>
      <c r="J88" s="1395"/>
      <c r="K88" s="1398"/>
      <c r="L88" s="1399"/>
      <c r="M88" s="1397">
        <f>SUM(M$87+M$83+M$75+M$72+M$62+M$51+M$46+M$41+M$34+M$22+M$13+M$8)</f>
        <v>2320.9899999999998</v>
      </c>
      <c r="N88" s="1400">
        <f>SUM(N$87+N$83+N$75+N$72+N$62+N$51+N$46+N$41+N$34+N$22+N$13+N$8)</f>
        <v>407.00039999999996</v>
      </c>
      <c r="O88" s="1401"/>
      <c r="P88" s="1397">
        <f>SUM(P$87+P$83+P$75+P$72+P$62+P$51+P$46+P$41+P$34+P$22+P$13+P$8)</f>
        <v>4256.4539392000015</v>
      </c>
      <c r="Q88" s="1402">
        <f>SUM(Q$87+Q$83+Q$75+Q$72+Q$62+Q$51+Q$46+Q$41+Q$34+Q$22+Q$13+Q$8)</f>
        <v>8388.0714996993465</v>
      </c>
      <c r="R88" s="1403">
        <f>SUM(I88+M88+P88)</f>
        <v>8388.0714996993484</v>
      </c>
    </row>
    <row r="90" spans="1:18">
      <c r="I90" s="1404"/>
      <c r="K90" s="1405"/>
    </row>
    <row r="96" spans="1:18">
      <c r="I96" s="1404"/>
    </row>
  </sheetData>
  <sheetProtection password="A5F1" sheet="1" objects="1" scenarios="1"/>
  <phoneticPr fontId="0" type="noConversion"/>
  <pageMargins left="0.77" right="0.46" top="0.28000000000000003" bottom="0.74" header="0.33" footer="0.27"/>
  <pageSetup scale="65" orientation="landscape" horizontalDpi="4294967293" verticalDpi="1200"/>
  <headerFooter alignWithMargins="0"/>
  <ignoredErrors>
    <ignoredError sqref="Q25" formula="1"/>
  </ignoredErrors>
</worksheet>
</file>

<file path=xl/worksheets/sheet17.xml><?xml version="1.0" encoding="utf-8"?>
<worksheet xmlns="http://schemas.openxmlformats.org/spreadsheetml/2006/main" xmlns:r="http://schemas.openxmlformats.org/officeDocument/2006/relationships">
  <sheetPr codeName="Sheet5" enableFormatConditionsCalculation="0">
    <tabColor theme="3" tint="0.39997558519241921"/>
  </sheetPr>
  <dimension ref="A1:S182"/>
  <sheetViews>
    <sheetView topLeftCell="A117" zoomScaleNormal="100" workbookViewId="0">
      <selection activeCell="G57" sqref="G57"/>
    </sheetView>
  </sheetViews>
  <sheetFormatPr defaultColWidth="8.85546875" defaultRowHeight="12.75"/>
  <cols>
    <col min="1" max="1" width="8.85546875" style="764"/>
    <col min="2" max="2" width="9.28515625" style="764" bestFit="1" customWidth="1"/>
    <col min="3" max="4" width="8.85546875" style="764"/>
    <col min="5" max="5" width="7.7109375" style="764" customWidth="1"/>
    <col min="6" max="6" width="6.7109375" style="764" customWidth="1"/>
    <col min="7" max="7" width="35.28515625" style="764" customWidth="1"/>
    <col min="8" max="8" width="10.85546875" style="764" bestFit="1" customWidth="1"/>
    <col min="9" max="9" width="11.42578125" style="764" bestFit="1" customWidth="1"/>
    <col min="10" max="10" width="12" style="764" customWidth="1"/>
    <col min="11" max="11" width="11.42578125" style="764" bestFit="1" customWidth="1"/>
    <col min="12" max="12" width="8.85546875" style="764"/>
    <col min="13" max="13" width="11.28515625" style="764" bestFit="1" customWidth="1"/>
    <col min="14" max="14" width="13" style="764" bestFit="1" customWidth="1"/>
    <col min="15" max="15" width="11.140625" style="764" bestFit="1" customWidth="1"/>
    <col min="16" max="16" width="9.42578125" style="764" bestFit="1" customWidth="1"/>
    <col min="17" max="17" width="13.28515625" style="764" bestFit="1" customWidth="1"/>
    <col min="18" max="18" width="13.42578125" style="764" bestFit="1" customWidth="1"/>
    <col min="19" max="19" width="12.7109375" style="764" customWidth="1"/>
    <col min="20" max="16384" width="8.85546875" style="764"/>
  </cols>
  <sheetData>
    <row r="1" spans="1:19">
      <c r="A1" s="3" t="s">
        <v>740</v>
      </c>
      <c r="B1" s="916"/>
      <c r="C1" s="916"/>
      <c r="D1" s="916"/>
      <c r="E1" s="916"/>
      <c r="F1" s="916"/>
      <c r="G1" s="916"/>
      <c r="H1" s="916"/>
      <c r="I1" s="1409"/>
      <c r="J1" s="916"/>
      <c r="K1" s="1409"/>
      <c r="L1" s="916"/>
      <c r="M1" s="916"/>
      <c r="N1" s="1409"/>
      <c r="O1" s="916"/>
      <c r="P1" s="1410"/>
      <c r="Q1" s="916"/>
      <c r="R1" s="916"/>
      <c r="S1" s="916"/>
    </row>
    <row r="2" spans="1:19" ht="13.5" thickBot="1">
      <c r="A2" s="3" t="s">
        <v>7</v>
      </c>
      <c r="B2" s="916"/>
      <c r="C2" s="916"/>
      <c r="D2" s="916"/>
      <c r="E2" s="916"/>
      <c r="F2" s="916"/>
      <c r="G2" s="3" t="s">
        <v>7</v>
      </c>
      <c r="H2" s="916"/>
      <c r="I2" s="1409"/>
      <c r="J2" s="916"/>
      <c r="K2" s="1409"/>
      <c r="L2" s="916"/>
      <c r="M2" s="816"/>
      <c r="N2" s="1409" t="s">
        <v>7</v>
      </c>
      <c r="O2" s="916"/>
      <c r="P2" s="1410"/>
      <c r="Q2" s="916"/>
      <c r="R2" s="916"/>
      <c r="S2" s="916"/>
    </row>
    <row r="3" spans="1:19" ht="13.5" thickTop="1">
      <c r="A3" s="1142" t="s">
        <v>8</v>
      </c>
      <c r="B3" s="1143" t="s">
        <v>9</v>
      </c>
      <c r="C3" s="1143" t="s">
        <v>76</v>
      </c>
      <c r="D3" s="1143"/>
      <c r="E3" s="1143"/>
      <c r="F3" s="1143"/>
      <c r="G3" s="1143"/>
      <c r="H3" s="1145"/>
      <c r="I3" s="1143" t="s">
        <v>10</v>
      </c>
      <c r="J3" s="1149"/>
      <c r="K3" s="1143"/>
      <c r="L3" s="1411" t="s">
        <v>11</v>
      </c>
      <c r="M3" s="1143"/>
      <c r="N3" s="1411"/>
      <c r="O3" s="1412"/>
      <c r="P3" s="1143" t="s">
        <v>12</v>
      </c>
      <c r="Q3" s="1149"/>
      <c r="R3" s="1143" t="s">
        <v>13</v>
      </c>
      <c r="S3" s="1150" t="s">
        <v>14</v>
      </c>
    </row>
    <row r="4" spans="1:19" ht="13.5" thickBot="1">
      <c r="A4" s="1413"/>
      <c r="B4" s="1414"/>
      <c r="C4" s="1414" t="s">
        <v>77</v>
      </c>
      <c r="D4" s="1414"/>
      <c r="E4" s="1414"/>
      <c r="F4" s="1414"/>
      <c r="G4" s="1414"/>
      <c r="H4" s="1415" t="s">
        <v>15</v>
      </c>
      <c r="I4" s="1416" t="s">
        <v>16</v>
      </c>
      <c r="J4" s="1417" t="s">
        <v>17</v>
      </c>
      <c r="K4" s="1416" t="s">
        <v>18</v>
      </c>
      <c r="L4" s="1414" t="s">
        <v>19</v>
      </c>
      <c r="M4" s="1414" t="s">
        <v>267</v>
      </c>
      <c r="N4" s="1416" t="s">
        <v>21</v>
      </c>
      <c r="O4" s="1415" t="s">
        <v>15</v>
      </c>
      <c r="P4" s="1418" t="s">
        <v>16</v>
      </c>
      <c r="Q4" s="1417" t="s">
        <v>22</v>
      </c>
      <c r="R4" s="1414" t="s">
        <v>23</v>
      </c>
      <c r="S4" s="1419" t="s">
        <v>23</v>
      </c>
    </row>
    <row r="5" spans="1:19" ht="13.5" thickBot="1">
      <c r="A5" s="1420" t="s">
        <v>121</v>
      </c>
      <c r="B5" s="1421"/>
      <c r="C5" s="1422"/>
      <c r="D5" s="1422"/>
      <c r="E5" s="1423"/>
      <c r="F5" s="1423"/>
      <c r="G5" s="1424"/>
      <c r="H5" s="1425"/>
      <c r="I5" s="1426"/>
      <c r="J5" s="1427"/>
      <c r="K5" s="1426"/>
      <c r="L5" s="1422"/>
      <c r="M5" s="1422"/>
      <c r="N5" s="1426"/>
      <c r="O5" s="1425"/>
      <c r="P5" s="1428"/>
      <c r="Q5" s="1427"/>
      <c r="R5" s="1429"/>
      <c r="S5" s="1430"/>
    </row>
    <row r="6" spans="1:19" ht="13.5" thickBot="1">
      <c r="A6" s="1168" t="s">
        <v>79</v>
      </c>
      <c r="B6" s="1431"/>
      <c r="C6" s="1431"/>
      <c r="D6" s="1431"/>
      <c r="E6" s="1431"/>
      <c r="F6" s="1431"/>
      <c r="G6" s="1431"/>
      <c r="H6" s="1200"/>
      <c r="I6" s="1228"/>
      <c r="J6" s="1432"/>
      <c r="K6" s="1228"/>
      <c r="L6" s="1204"/>
      <c r="M6" s="1205"/>
      <c r="N6" s="1228"/>
      <c r="O6" s="1200"/>
      <c r="P6" s="1433"/>
      <c r="Q6" s="1207"/>
      <c r="R6" s="1206"/>
      <c r="S6" s="1208" t="s">
        <v>79</v>
      </c>
    </row>
    <row r="7" spans="1:19">
      <c r="A7" s="1218"/>
      <c r="B7" s="1177">
        <v>301</v>
      </c>
      <c r="C7" s="816" t="s">
        <v>24</v>
      </c>
      <c r="D7" s="816"/>
      <c r="E7" s="816"/>
      <c r="F7" s="816"/>
      <c r="G7" s="814" t="s">
        <v>25</v>
      </c>
      <c r="H7" s="1179"/>
      <c r="I7" s="1434"/>
      <c r="J7" s="1435"/>
      <c r="K7" s="1436">
        <f>Materials!F71</f>
        <v>6</v>
      </c>
      <c r="L7" s="1327" t="s">
        <v>300</v>
      </c>
      <c r="M7" s="1437">
        <v>1</v>
      </c>
      <c r="N7" s="1438">
        <f>+M7*K7</f>
        <v>6</v>
      </c>
      <c r="O7" s="1179"/>
      <c r="P7" s="1439"/>
      <c r="Q7" s="1438"/>
      <c r="R7" s="1440">
        <f>$Q7+$N7+$J7</f>
        <v>6</v>
      </c>
      <c r="S7" s="1188"/>
    </row>
    <row r="8" spans="1:19">
      <c r="A8" s="1218"/>
      <c r="B8" s="1219">
        <v>3390</v>
      </c>
      <c r="C8" s="816" t="s">
        <v>104</v>
      </c>
      <c r="D8" s="816"/>
      <c r="E8" s="816"/>
      <c r="F8" s="816"/>
      <c r="G8" s="814" t="s">
        <v>122</v>
      </c>
      <c r="H8" s="1272">
        <v>20</v>
      </c>
      <c r="I8" s="1441">
        <f>Machinery!U7</f>
        <v>0.34666666666666662</v>
      </c>
      <c r="J8" s="1216">
        <f>H8*I8</f>
        <v>6.9333333333333327</v>
      </c>
      <c r="K8" s="1442"/>
      <c r="L8" s="1213"/>
      <c r="M8" s="1214"/>
      <c r="N8" s="1216"/>
      <c r="O8" s="1511">
        <v>4.8</v>
      </c>
      <c r="P8" s="1443">
        <f>Labor!I107</f>
        <v>8.4749230769230781</v>
      </c>
      <c r="Q8" s="1216">
        <f>O8*P8</f>
        <v>40.679630769230776</v>
      </c>
      <c r="R8" s="1440">
        <f>$Q8+$N8+$J8</f>
        <v>47.612964102564106</v>
      </c>
      <c r="S8" s="1221"/>
    </row>
    <row r="9" spans="1:19">
      <c r="A9" s="1218"/>
      <c r="B9" s="1444">
        <v>342</v>
      </c>
      <c r="C9" s="816" t="s">
        <v>268</v>
      </c>
      <c r="D9" s="816"/>
      <c r="E9" s="816"/>
      <c r="F9" s="816" t="s">
        <v>269</v>
      </c>
      <c r="G9" s="1445">
        <f>Yields!F12</f>
        <v>16500</v>
      </c>
      <c r="H9" s="1446"/>
      <c r="I9" s="1441"/>
      <c r="J9" s="1447"/>
      <c r="K9" s="1442"/>
      <c r="L9" s="1213"/>
      <c r="M9" s="917"/>
      <c r="N9" s="1216"/>
      <c r="O9" s="1511">
        <v>2</v>
      </c>
      <c r="P9" s="1443">
        <f>Labor!I53</f>
        <v>15.721984615384617</v>
      </c>
      <c r="Q9" s="1216">
        <f>O9*P9</f>
        <v>31.443969230769234</v>
      </c>
      <c r="R9" s="1440">
        <f>$Q9+$N9+$J9</f>
        <v>31.443969230769234</v>
      </c>
      <c r="S9" s="1188"/>
    </row>
    <row r="10" spans="1:19">
      <c r="A10" s="1218"/>
      <c r="B10" s="1444"/>
      <c r="C10" s="816" t="s">
        <v>308</v>
      </c>
      <c r="D10" s="816" t="s">
        <v>270</v>
      </c>
      <c r="E10" s="816"/>
      <c r="F10" s="1448">
        <f>Yields!G5</f>
        <v>0.8</v>
      </c>
      <c r="H10" s="1446"/>
      <c r="I10" s="1441"/>
      <c r="J10" s="1447"/>
      <c r="K10" s="1442"/>
      <c r="L10" s="1441"/>
      <c r="M10" s="1441"/>
      <c r="N10" s="1216"/>
      <c r="O10" s="1381"/>
      <c r="P10" s="1443"/>
      <c r="Q10" s="1216"/>
      <c r="R10" s="1440"/>
      <c r="S10" s="1188"/>
    </row>
    <row r="11" spans="1:19">
      <c r="A11" s="1218"/>
      <c r="B11" s="1444"/>
      <c r="C11" s="816"/>
      <c r="D11" s="816" t="s">
        <v>653</v>
      </c>
      <c r="F11" s="816"/>
      <c r="H11" s="1446"/>
      <c r="I11" s="1441"/>
      <c r="J11" s="1447"/>
      <c r="K11" s="1442">
        <f>Materials!D88</f>
        <v>0.115</v>
      </c>
      <c r="L11" s="1213" t="s">
        <v>210</v>
      </c>
      <c r="M11" s="1449">
        <f>Yields!G13</f>
        <v>26400</v>
      </c>
      <c r="N11" s="1216">
        <f>K11*M11</f>
        <v>3036</v>
      </c>
      <c r="O11" s="1381"/>
      <c r="P11" s="1443"/>
      <c r="Q11" s="1447"/>
      <c r="R11" s="1440">
        <f>$Q11+$N11+$J11</f>
        <v>3036</v>
      </c>
      <c r="S11" s="1188"/>
    </row>
    <row r="12" spans="1:19">
      <c r="A12" s="1218"/>
      <c r="B12" s="1444"/>
      <c r="C12" s="816"/>
      <c r="D12" s="764" t="s">
        <v>658</v>
      </c>
      <c r="H12" s="1446"/>
      <c r="I12" s="1441"/>
      <c r="J12" s="1447"/>
      <c r="K12" s="1442">
        <f>Materials!D90</f>
        <v>1.75</v>
      </c>
      <c r="L12" s="1213" t="s">
        <v>210</v>
      </c>
      <c r="M12" s="1450">
        <f>M11/12</f>
        <v>2200</v>
      </c>
      <c r="N12" s="1216">
        <f>K12*M12</f>
        <v>3850</v>
      </c>
      <c r="O12" s="1381"/>
      <c r="P12" s="1443"/>
      <c r="Q12" s="1447"/>
      <c r="R12" s="1440">
        <f>$Q12+$N12+$J12</f>
        <v>3850</v>
      </c>
      <c r="S12" s="1451"/>
    </row>
    <row r="13" spans="1:19">
      <c r="A13" s="1218"/>
      <c r="B13" s="1444"/>
      <c r="C13" s="816" t="s">
        <v>336</v>
      </c>
      <c r="D13" s="816" t="s">
        <v>270</v>
      </c>
      <c r="E13" s="816"/>
      <c r="F13" s="1452">
        <f>1-F10</f>
        <v>0.19999999999999996</v>
      </c>
      <c r="G13" s="809"/>
      <c r="H13" s="1446"/>
      <c r="I13" s="1441"/>
      <c r="J13" s="1447"/>
      <c r="K13" s="1442"/>
      <c r="L13" s="1441"/>
      <c r="M13" s="1441"/>
      <c r="N13" s="1216"/>
      <c r="O13" s="1381"/>
      <c r="P13" s="1443"/>
      <c r="Q13" s="1447"/>
      <c r="S13" s="1188"/>
    </row>
    <row r="14" spans="1:19" ht="13.5" thickBot="1">
      <c r="A14" s="1218"/>
      <c r="B14" s="1444"/>
      <c r="C14" s="816"/>
      <c r="D14" s="816" t="s">
        <v>312</v>
      </c>
      <c r="F14" s="816"/>
      <c r="H14" s="1446"/>
      <c r="I14" s="1441"/>
      <c r="J14" s="1447"/>
      <c r="K14" s="1442">
        <f>Materials!D91</f>
        <v>2.25</v>
      </c>
      <c r="L14" s="1213" t="s">
        <v>210</v>
      </c>
      <c r="M14" s="1453">
        <v>150</v>
      </c>
      <c r="N14" s="1216">
        <f>K14*M14</f>
        <v>337.5</v>
      </c>
      <c r="O14" s="1381"/>
      <c r="P14" s="1443"/>
      <c r="Q14" s="1447"/>
      <c r="R14" s="1440">
        <f>$Q13+$N14+$J13</f>
        <v>337.5</v>
      </c>
      <c r="S14" s="1188"/>
    </row>
    <row r="15" spans="1:19" ht="13.5" thickBot="1">
      <c r="A15" s="1189" t="s">
        <v>80</v>
      </c>
      <c r="B15" s="1110"/>
      <c r="C15" s="1110"/>
      <c r="D15" s="1110"/>
      <c r="E15" s="1110"/>
      <c r="F15" s="1110"/>
      <c r="G15" s="1333"/>
      <c r="H15" s="1196">
        <f>SUM(H8:H14)</f>
        <v>20</v>
      </c>
      <c r="I15" s="1198"/>
      <c r="J15" s="1197">
        <f>SUM(J7:J14)</f>
        <v>6.9333333333333327</v>
      </c>
      <c r="K15" s="1454"/>
      <c r="L15" s="1198"/>
      <c r="M15" s="1198"/>
      <c r="N15" s="1197">
        <f>SUM(N7:N14)</f>
        <v>7229.5</v>
      </c>
      <c r="O15" s="1455">
        <f>SUM(O7:O14)</f>
        <v>6.8</v>
      </c>
      <c r="P15" s="1198" t="s">
        <v>7</v>
      </c>
      <c r="Q15" s="1197">
        <f>SUM(Q7:Q14)</f>
        <v>72.12360000000001</v>
      </c>
      <c r="R15" s="1195">
        <f>SUM(R7:R14)</f>
        <v>7308.5569333333333</v>
      </c>
      <c r="S15" s="1199">
        <f>J15+N15+Q15</f>
        <v>7308.5569333333333</v>
      </c>
    </row>
    <row r="16" spans="1:19" ht="13.5" thickBot="1">
      <c r="A16" s="1168" t="s">
        <v>69</v>
      </c>
      <c r="B16" s="1431"/>
      <c r="C16" s="1431"/>
      <c r="D16" s="1431"/>
      <c r="E16" s="1431"/>
      <c r="F16" s="1431"/>
      <c r="G16" s="1342"/>
      <c r="H16" s="1200"/>
      <c r="I16" s="1228"/>
      <c r="J16" s="1456"/>
      <c r="K16" s="1266"/>
      <c r="L16" s="1204"/>
      <c r="M16" s="1205"/>
      <c r="N16" s="1227"/>
      <c r="O16" s="1457"/>
      <c r="P16" s="1458"/>
      <c r="Q16" s="1207"/>
      <c r="R16" s="1206"/>
      <c r="S16" s="1208" t="s">
        <v>69</v>
      </c>
    </row>
    <row r="17" spans="1:19">
      <c r="A17" s="1176"/>
      <c r="B17" s="1177">
        <v>301</v>
      </c>
      <c r="C17" s="816" t="s">
        <v>24</v>
      </c>
      <c r="D17" s="816"/>
      <c r="E17" s="816"/>
      <c r="F17" s="816"/>
      <c r="G17" s="814" t="s">
        <v>25</v>
      </c>
      <c r="H17" s="1209"/>
      <c r="I17" s="1441"/>
      <c r="J17" s="1240"/>
      <c r="K17" s="1442">
        <f>Materials!F71</f>
        <v>6</v>
      </c>
      <c r="L17" s="1213" t="s">
        <v>300</v>
      </c>
      <c r="M17" s="1214">
        <v>1</v>
      </c>
      <c r="N17" s="1216">
        <f>M17*K17</f>
        <v>6</v>
      </c>
      <c r="O17" s="1381"/>
      <c r="P17" s="1443"/>
      <c r="Q17" s="1216"/>
      <c r="R17" s="1440">
        <f>$Q17+$N17+$J17</f>
        <v>6</v>
      </c>
      <c r="S17" s="1188"/>
    </row>
    <row r="18" spans="1:19">
      <c r="A18" s="1350"/>
      <c r="B18" s="1444">
        <v>224</v>
      </c>
      <c r="C18" s="1459" t="s">
        <v>81</v>
      </c>
      <c r="D18" s="809"/>
      <c r="E18" s="809"/>
      <c r="F18" s="801"/>
      <c r="G18" s="1460"/>
      <c r="H18" s="1461"/>
      <c r="I18" s="1462"/>
      <c r="J18" s="1447"/>
      <c r="K18" s="1463">
        <f>Materials!D70</f>
        <v>25</v>
      </c>
      <c r="L18" s="1354"/>
      <c r="M18" s="1349">
        <v>1</v>
      </c>
      <c r="N18" s="1216">
        <f>M18*K18</f>
        <v>25</v>
      </c>
      <c r="O18" s="1408">
        <v>24</v>
      </c>
      <c r="P18" s="1443">
        <f>Labor!I107</f>
        <v>8.4749230769230781</v>
      </c>
      <c r="Q18" s="1355">
        <f>O18*P18</f>
        <v>203.39815384615389</v>
      </c>
      <c r="R18" s="1440">
        <f>$Q18+$N18+$J18</f>
        <v>228.39815384615389</v>
      </c>
      <c r="S18" s="1238"/>
    </row>
    <row r="19" spans="1:19">
      <c r="A19" s="1350"/>
      <c r="B19" s="1444"/>
      <c r="C19" s="809" t="s">
        <v>395</v>
      </c>
      <c r="D19" s="809"/>
      <c r="E19" s="809"/>
      <c r="F19" s="801"/>
      <c r="G19" s="814" t="s">
        <v>235</v>
      </c>
      <c r="H19" s="1272">
        <v>0.41699999999999998</v>
      </c>
      <c r="I19" s="1441">
        <f>Machinery!U5+Machinery!U8</f>
        <v>17.657110248000002</v>
      </c>
      <c r="J19" s="1216">
        <f>H19*I19</f>
        <v>7.3630149734160009</v>
      </c>
      <c r="K19" s="1442"/>
      <c r="L19" s="1213"/>
      <c r="M19" s="1214"/>
      <c r="N19" s="1216"/>
      <c r="O19" s="1381">
        <f>H19*1.2</f>
        <v>0.50039999999999996</v>
      </c>
      <c r="P19" s="1443">
        <f>Labor!I107</f>
        <v>8.4749230769230781</v>
      </c>
      <c r="Q19" s="1216">
        <f>+$P19*$O19</f>
        <v>4.2408515076923079</v>
      </c>
      <c r="R19" s="1464">
        <f>$Q19+$N19+$J19</f>
        <v>11.603866481108309</v>
      </c>
      <c r="S19" s="1238"/>
    </row>
    <row r="20" spans="1:19">
      <c r="A20" s="1350"/>
      <c r="B20" s="1444"/>
      <c r="C20" s="809"/>
      <c r="D20" s="809" t="s">
        <v>396</v>
      </c>
      <c r="E20" s="809"/>
      <c r="F20" s="801"/>
      <c r="G20" s="1460"/>
      <c r="H20" s="1461"/>
      <c r="I20" s="1462"/>
      <c r="J20" s="1447"/>
      <c r="K20" s="1463">
        <f>Materials!D40</f>
        <v>10</v>
      </c>
      <c r="L20" s="1354" t="str">
        <f>Materials!C40</f>
        <v>gallon</v>
      </c>
      <c r="M20" s="1349">
        <v>10</v>
      </c>
      <c r="N20" s="1216">
        <f>M20*K20</f>
        <v>100</v>
      </c>
      <c r="O20" s="1365"/>
      <c r="P20" s="1220"/>
      <c r="Q20" s="1355"/>
      <c r="R20" s="1464">
        <f>$Q20+$N20+$J20</f>
        <v>100</v>
      </c>
      <c r="S20" s="1238"/>
    </row>
    <row r="21" spans="1:19" ht="13.5" thickBot="1">
      <c r="A21" s="1218"/>
      <c r="B21" s="1219">
        <v>339</v>
      </c>
      <c r="C21" s="816" t="s">
        <v>104</v>
      </c>
      <c r="D21" s="816"/>
      <c r="E21" s="816"/>
      <c r="F21" s="816"/>
      <c r="G21" s="809" t="s">
        <v>122</v>
      </c>
      <c r="H21" s="1272">
        <v>10</v>
      </c>
      <c r="I21" s="1441">
        <f>Machinery!U7</f>
        <v>0.34666666666666662</v>
      </c>
      <c r="J21" s="1216">
        <f>H21*I21</f>
        <v>3.4666666666666663</v>
      </c>
      <c r="K21" s="1442"/>
      <c r="L21" s="917"/>
      <c r="M21" s="1214"/>
      <c r="N21" s="1216"/>
      <c r="O21" s="1511">
        <v>12</v>
      </c>
      <c r="P21" s="1443">
        <f>Labor!I107</f>
        <v>8.4749230769230781</v>
      </c>
      <c r="Q21" s="1465">
        <f>O21*P21</f>
        <v>101.69907692307694</v>
      </c>
      <c r="R21" s="1440">
        <f>$Q21+$N21+$J21</f>
        <v>105.16574358974361</v>
      </c>
      <c r="S21" s="1188"/>
    </row>
    <row r="22" spans="1:19" ht="13.5" thickBot="1">
      <c r="A22" s="1189" t="s">
        <v>74</v>
      </c>
      <c r="B22" s="1190"/>
      <c r="C22" s="1110"/>
      <c r="D22" s="1110"/>
      <c r="E22" s="1110"/>
      <c r="F22" s="1110"/>
      <c r="G22" s="1369"/>
      <c r="H22" s="1191">
        <f>SUM(H$17:H$21)</f>
        <v>10.417</v>
      </c>
      <c r="I22" s="1198"/>
      <c r="J22" s="1197">
        <f>SUM(J17:J21)</f>
        <v>10.829681640082667</v>
      </c>
      <c r="K22" s="1454"/>
      <c r="L22" s="1229"/>
      <c r="M22" s="1229"/>
      <c r="N22" s="1197">
        <f>SUM(N$17:N$21)</f>
        <v>131</v>
      </c>
      <c r="O22" s="1455">
        <f>SUM(O$17:O$21)</f>
        <v>36.500399999999999</v>
      </c>
      <c r="P22" s="1466"/>
      <c r="Q22" s="1197">
        <f>SUM(Q$17:Q$21)</f>
        <v>309.33808227692316</v>
      </c>
      <c r="R22" s="1195">
        <f>SUM(R$17:R$21)</f>
        <v>451.1677639170058</v>
      </c>
      <c r="S22" s="1199">
        <f>J22+N22+Q22</f>
        <v>451.1677639170058</v>
      </c>
    </row>
    <row r="23" spans="1:19" ht="13.5" thickBot="1">
      <c r="A23" s="1168" t="s">
        <v>84</v>
      </c>
      <c r="B23" s="1467"/>
      <c r="C23" s="1431"/>
      <c r="D23" s="1431"/>
      <c r="E23" s="1431"/>
      <c r="F23" s="1431"/>
      <c r="G23" s="1372"/>
      <c r="H23" s="1226"/>
      <c r="I23" s="1228"/>
      <c r="J23" s="1456"/>
      <c r="K23" s="1266"/>
      <c r="L23" s="1204"/>
      <c r="M23" s="1205"/>
      <c r="N23" s="1227"/>
      <c r="O23" s="1457"/>
      <c r="P23" s="1458"/>
      <c r="Q23" s="1227"/>
      <c r="R23" s="1228"/>
      <c r="S23" s="1208" t="s">
        <v>84</v>
      </c>
    </row>
    <row r="24" spans="1:19">
      <c r="A24" s="1176"/>
      <c r="B24" s="1177">
        <v>301</v>
      </c>
      <c r="C24" s="816" t="s">
        <v>24</v>
      </c>
      <c r="D24" s="816"/>
      <c r="E24" s="816"/>
      <c r="F24" s="816"/>
      <c r="G24" s="814" t="s">
        <v>25</v>
      </c>
      <c r="H24" s="1209"/>
      <c r="I24" s="1441"/>
      <c r="J24" s="1240"/>
      <c r="K24" s="1442">
        <f>Materials!F71</f>
        <v>6</v>
      </c>
      <c r="L24" s="1213" t="s">
        <v>300</v>
      </c>
      <c r="M24" s="1214">
        <v>1</v>
      </c>
      <c r="N24" s="1216">
        <f>+M24*K24</f>
        <v>6</v>
      </c>
      <c r="O24" s="1381"/>
      <c r="P24" s="1443"/>
      <c r="Q24" s="1216"/>
      <c r="R24" s="1464">
        <f t="shared" ref="R24:R40" si="0">$Q24+$N24+$J24</f>
        <v>6</v>
      </c>
      <c r="S24" s="1188"/>
    </row>
    <row r="25" spans="1:19">
      <c r="A25" s="1218"/>
      <c r="B25" s="1219"/>
      <c r="C25" s="816" t="s">
        <v>550</v>
      </c>
      <c r="D25" s="816"/>
      <c r="E25" s="816"/>
      <c r="F25" s="816"/>
      <c r="G25" s="814" t="s">
        <v>551</v>
      </c>
      <c r="H25" s="1209"/>
      <c r="I25" s="1441"/>
      <c r="J25" s="1240"/>
      <c r="K25" s="1442"/>
      <c r="L25" s="1213"/>
      <c r="M25" s="1214"/>
      <c r="N25" s="1216"/>
      <c r="O25" s="1511">
        <v>80</v>
      </c>
      <c r="P25" s="1443">
        <f>Labor!I107</f>
        <v>8.4749230769230781</v>
      </c>
      <c r="Q25" s="1216">
        <f>+$P25*$O25</f>
        <v>677.99384615384622</v>
      </c>
      <c r="R25" s="1464">
        <f t="shared" si="0"/>
        <v>677.99384615384622</v>
      </c>
      <c r="S25" s="1188"/>
    </row>
    <row r="26" spans="1:19">
      <c r="A26" s="1218"/>
      <c r="B26" s="1219">
        <v>343</v>
      </c>
      <c r="C26" s="816" t="s">
        <v>315</v>
      </c>
      <c r="D26" s="816"/>
      <c r="E26" s="816"/>
      <c r="F26" s="816"/>
      <c r="G26" s="814" t="s">
        <v>235</v>
      </c>
      <c r="H26" s="1272">
        <v>0.41699999999999998</v>
      </c>
      <c r="I26" s="1441">
        <f>Machinery!U5+Machinery!U8</f>
        <v>17.657110248000002</v>
      </c>
      <c r="J26" s="1216">
        <f>H26*I26</f>
        <v>7.3630149734160009</v>
      </c>
      <c r="K26" s="1442"/>
      <c r="L26" s="1213"/>
      <c r="M26" s="1214"/>
      <c r="N26" s="1216"/>
      <c r="O26" s="1381">
        <f>H26*1.2</f>
        <v>0.50039999999999996</v>
      </c>
      <c r="P26" s="1443">
        <f>Labor!I107</f>
        <v>8.4749230769230781</v>
      </c>
      <c r="Q26" s="1216">
        <f>+$P26*$O26</f>
        <v>4.2408515076923079</v>
      </c>
      <c r="R26" s="1464">
        <f t="shared" si="0"/>
        <v>11.603866481108309</v>
      </c>
      <c r="S26" s="1188"/>
    </row>
    <row r="27" spans="1:19">
      <c r="A27" s="1218"/>
      <c r="B27" s="1219"/>
      <c r="C27" s="816"/>
      <c r="D27" s="816" t="s">
        <v>295</v>
      </c>
      <c r="E27" s="816"/>
      <c r="F27" s="816"/>
      <c r="G27" s="814"/>
      <c r="H27" s="1209"/>
      <c r="I27" s="1441"/>
      <c r="J27" s="1240"/>
      <c r="K27" s="1442">
        <f>Materials!D26</f>
        <v>0.51930810916211012</v>
      </c>
      <c r="L27" s="1213" t="str">
        <f>+Materials!C26</f>
        <v>oz</v>
      </c>
      <c r="M27" s="1214">
        <f>Materials!B26</f>
        <v>6</v>
      </c>
      <c r="N27" s="1216">
        <f>K27*M27</f>
        <v>3.1158486549726607</v>
      </c>
      <c r="O27" s="1381"/>
      <c r="P27" s="1443"/>
      <c r="Q27" s="1216"/>
      <c r="R27" s="1464">
        <f t="shared" si="0"/>
        <v>3.1158486549726607</v>
      </c>
      <c r="S27" s="1188"/>
    </row>
    <row r="28" spans="1:19">
      <c r="A28" s="1218"/>
      <c r="B28" s="1219">
        <v>344</v>
      </c>
      <c r="C28" s="1664" t="s">
        <v>318</v>
      </c>
      <c r="D28" s="1665"/>
      <c r="E28" s="1665"/>
      <c r="F28" s="816"/>
      <c r="G28" s="814" t="s">
        <v>235</v>
      </c>
      <c r="H28" s="1272">
        <v>0.41699999999999998</v>
      </c>
      <c r="I28" s="1462">
        <f>Machinery!U5+Machinery!U8</f>
        <v>17.657110248000002</v>
      </c>
      <c r="J28" s="1325">
        <f>I28*H28</f>
        <v>7.3630149734160009</v>
      </c>
      <c r="K28" s="1357"/>
      <c r="L28" s="1213"/>
      <c r="M28" s="1349"/>
      <c r="N28" s="1325"/>
      <c r="O28" s="1381">
        <f>H28*1.2</f>
        <v>0.50039999999999996</v>
      </c>
      <c r="P28" s="1443">
        <f>Labor!I107</f>
        <v>8.4749230769230781</v>
      </c>
      <c r="Q28" s="1216">
        <f>+$P28*$O28</f>
        <v>4.2408515076923079</v>
      </c>
      <c r="R28" s="1464">
        <f t="shared" si="0"/>
        <v>11.603866481108309</v>
      </c>
      <c r="S28" s="1188"/>
    </row>
    <row r="29" spans="1:19">
      <c r="A29" s="1218"/>
      <c r="B29" s="1219"/>
      <c r="C29" s="816"/>
      <c r="D29" s="816" t="s">
        <v>295</v>
      </c>
      <c r="E29" s="816"/>
      <c r="F29" s="816"/>
      <c r="G29" s="814"/>
      <c r="H29" s="1209"/>
      <c r="I29" s="1462"/>
      <c r="J29" s="1325"/>
      <c r="K29" s="1442">
        <f>Materials!D26</f>
        <v>0.51930810916211012</v>
      </c>
      <c r="L29" s="1213" t="str">
        <f>+Materials!C26</f>
        <v>oz</v>
      </c>
      <c r="M29" s="1214">
        <f>Materials!B26</f>
        <v>6</v>
      </c>
      <c r="N29" s="1216">
        <f>K29*M29</f>
        <v>3.1158486549726607</v>
      </c>
      <c r="O29" s="1381"/>
      <c r="P29" s="1443"/>
      <c r="Q29" s="1216"/>
      <c r="R29" s="1464">
        <f t="shared" si="0"/>
        <v>3.1158486549726607</v>
      </c>
      <c r="S29" s="1188"/>
    </row>
    <row r="30" spans="1:19">
      <c r="A30" s="1468"/>
      <c r="B30" s="1322"/>
      <c r="C30" s="816"/>
      <c r="D30" s="809" t="s">
        <v>113</v>
      </c>
      <c r="E30" s="801"/>
      <c r="F30" s="819"/>
      <c r="G30" s="1469"/>
      <c r="H30" s="1209"/>
      <c r="I30" s="1462"/>
      <c r="J30" s="1447"/>
      <c r="K30" s="1357">
        <f>Materials!D33</f>
        <v>4</v>
      </c>
      <c r="L30" s="1213" t="str">
        <f>+Materials!C33</f>
        <v>lb</v>
      </c>
      <c r="M30" s="1349">
        <f>Materials!B33</f>
        <v>4</v>
      </c>
      <c r="N30" s="1325">
        <f>K30*M30</f>
        <v>16</v>
      </c>
      <c r="O30" s="1365"/>
      <c r="P30" s="1220"/>
      <c r="Q30" s="1325"/>
      <c r="R30" s="1464">
        <f t="shared" si="0"/>
        <v>16</v>
      </c>
      <c r="S30" s="1188"/>
    </row>
    <row r="31" spans="1:19">
      <c r="A31" s="1468"/>
      <c r="B31" s="1322"/>
      <c r="C31" s="816"/>
      <c r="D31" s="809" t="s">
        <v>137</v>
      </c>
      <c r="E31" s="801"/>
      <c r="F31" s="819"/>
      <c r="G31" s="1469"/>
      <c r="H31" s="1209"/>
      <c r="I31" s="1462"/>
      <c r="J31" s="1447"/>
      <c r="K31" s="1357">
        <f>Materials!D38</f>
        <v>6</v>
      </c>
      <c r="L31" s="1213" t="str">
        <f>+Materials!C38</f>
        <v>oz</v>
      </c>
      <c r="M31" s="1349">
        <f>Materials!B38</f>
        <v>2.5</v>
      </c>
      <c r="N31" s="1325">
        <f>K31*M31</f>
        <v>15</v>
      </c>
      <c r="O31" s="1365"/>
      <c r="P31" s="1220"/>
      <c r="Q31" s="1325"/>
      <c r="R31" s="1464">
        <f t="shared" si="0"/>
        <v>15</v>
      </c>
      <c r="S31" s="1188"/>
    </row>
    <row r="32" spans="1:19">
      <c r="A32" s="1218"/>
      <c r="B32" s="1219">
        <v>343</v>
      </c>
      <c r="C32" s="816" t="s">
        <v>124</v>
      </c>
      <c r="D32" s="816"/>
      <c r="E32" s="816"/>
      <c r="F32" s="816"/>
      <c r="G32" s="814" t="s">
        <v>389</v>
      </c>
      <c r="H32" s="1406">
        <v>0.108</v>
      </c>
      <c r="I32" s="1324">
        <f>Machinery!U12+Machinery!U4</f>
        <v>9.1801094500000016</v>
      </c>
      <c r="J32" s="1325">
        <f>H32*I32</f>
        <v>0.99145182060000014</v>
      </c>
      <c r="K32" s="1442"/>
      <c r="L32" s="1470"/>
      <c r="M32" s="1354"/>
      <c r="N32" s="1325"/>
      <c r="O32" s="1408">
        <v>10</v>
      </c>
      <c r="P32" s="1443">
        <f>Labor!I107</f>
        <v>8.4749230769230781</v>
      </c>
      <c r="Q32" s="1325">
        <f>O32*P32</f>
        <v>84.749230769230778</v>
      </c>
      <c r="R32" s="1464">
        <f t="shared" si="0"/>
        <v>85.740682589830783</v>
      </c>
      <c r="S32" s="1471"/>
    </row>
    <row r="33" spans="1:19">
      <c r="A33" s="1218"/>
      <c r="B33" s="1219">
        <v>346</v>
      </c>
      <c r="C33" s="816" t="s">
        <v>91</v>
      </c>
      <c r="D33" s="816"/>
      <c r="E33" s="816"/>
      <c r="F33" s="816"/>
      <c r="G33" s="814" t="s">
        <v>568</v>
      </c>
      <c r="H33" s="1272">
        <v>3</v>
      </c>
      <c r="I33" s="1324">
        <f>Machinery!U18+Machinery!U17+Machinery!U19</f>
        <v>16.483727893333331</v>
      </c>
      <c r="J33" s="1325">
        <f>H33*I33</f>
        <v>49.451183679999993</v>
      </c>
      <c r="K33" s="1357"/>
      <c r="L33" s="1213"/>
      <c r="M33" s="1349"/>
      <c r="N33" s="1325"/>
      <c r="O33" s="1365">
        <f>H33/6</f>
        <v>0.5</v>
      </c>
      <c r="P33" s="1443">
        <f>Labor!I107</f>
        <v>8.4749230769230781</v>
      </c>
      <c r="Q33" s="1325">
        <f>P33*O33</f>
        <v>4.2374615384615391</v>
      </c>
      <c r="R33" s="1464">
        <f t="shared" si="0"/>
        <v>53.688645218461531</v>
      </c>
      <c r="S33" s="1356"/>
    </row>
    <row r="34" spans="1:19">
      <c r="A34" s="1218"/>
      <c r="B34" s="1219"/>
      <c r="C34" s="816"/>
      <c r="D34" s="789" t="s">
        <v>391</v>
      </c>
      <c r="E34" s="816"/>
      <c r="F34" s="816"/>
      <c r="G34" s="814"/>
      <c r="H34" s="1209"/>
      <c r="I34" s="1324"/>
      <c r="J34" s="1325"/>
      <c r="K34" s="1357">
        <f>Materials!D16</f>
        <v>0.22900000000000001</v>
      </c>
      <c r="L34" s="1472" t="str">
        <f>Materials!C11</f>
        <v>lbs</v>
      </c>
      <c r="M34" s="1473">
        <f>Materials!B11</f>
        <v>5.48</v>
      </c>
      <c r="N34" s="1325">
        <f>K34*M34</f>
        <v>1.2549200000000003</v>
      </c>
      <c r="O34" s="1365"/>
      <c r="P34" s="1220"/>
      <c r="Q34" s="1325"/>
      <c r="R34" s="1464">
        <f t="shared" si="0"/>
        <v>1.2549200000000003</v>
      </c>
      <c r="S34" s="1356"/>
    </row>
    <row r="35" spans="1:19">
      <c r="A35" s="1218"/>
      <c r="B35" s="1219"/>
      <c r="C35" s="816" t="s">
        <v>392</v>
      </c>
      <c r="D35" s="789"/>
      <c r="E35" s="816"/>
      <c r="F35" s="816"/>
      <c r="G35" s="814" t="s">
        <v>393</v>
      </c>
      <c r="H35" s="1272">
        <v>0.41699999999999998</v>
      </c>
      <c r="I35" s="1324">
        <f>Machinery!U5+Machinery!U8</f>
        <v>17.657110248000002</v>
      </c>
      <c r="J35" s="1325">
        <f>H35*I35</f>
        <v>7.3630149734160009</v>
      </c>
      <c r="K35" s="1357"/>
      <c r="L35" s="1472"/>
      <c r="M35" s="1473"/>
      <c r="N35" s="1325"/>
      <c r="O35" s="1365">
        <f>H35*1.2</f>
        <v>0.50039999999999996</v>
      </c>
      <c r="P35" s="1443">
        <f>Labor!I107</f>
        <v>8.4749230769230781</v>
      </c>
      <c r="Q35" s="1325">
        <f>P35*O35</f>
        <v>4.2408515076923079</v>
      </c>
      <c r="R35" s="1464">
        <f t="shared" si="0"/>
        <v>11.603866481108309</v>
      </c>
      <c r="S35" s="1356"/>
    </row>
    <row r="36" spans="1:19">
      <c r="A36" s="1218"/>
      <c r="B36" s="1219"/>
      <c r="C36" s="816"/>
      <c r="D36" s="809" t="s">
        <v>99</v>
      </c>
      <c r="E36" s="801"/>
      <c r="F36" s="819"/>
      <c r="G36" s="1469"/>
      <c r="H36" s="1461"/>
      <c r="I36" s="1462"/>
      <c r="J36" s="1447"/>
      <c r="K36" s="1357">
        <f>Materials!D10</f>
        <v>1.98</v>
      </c>
      <c r="L36" s="1472" t="str">
        <f>Materials!C10</f>
        <v>lbs</v>
      </c>
      <c r="M36" s="1473">
        <v>0.8</v>
      </c>
      <c r="N36" s="1325">
        <f>K36*M36</f>
        <v>1.5840000000000001</v>
      </c>
      <c r="O36" s="1365">
        <v>0</v>
      </c>
      <c r="P36" s="1443">
        <f>Labor!I107</f>
        <v>8.4749230769230781</v>
      </c>
      <c r="Q36" s="1216">
        <f>$O36*$P36</f>
        <v>0</v>
      </c>
      <c r="R36" s="1464">
        <f t="shared" si="0"/>
        <v>1.5840000000000001</v>
      </c>
      <c r="S36" s="1356"/>
    </row>
    <row r="37" spans="1:19">
      <c r="A37" s="1218"/>
      <c r="B37" s="1219">
        <v>304</v>
      </c>
      <c r="C37" s="816" t="s">
        <v>32</v>
      </c>
      <c r="D37" s="816"/>
      <c r="E37" s="816"/>
      <c r="F37" s="816"/>
      <c r="G37" s="814" t="s">
        <v>234</v>
      </c>
      <c r="H37" s="1272">
        <v>0.41699999999999998</v>
      </c>
      <c r="I37" s="1462">
        <f>Machinery!U5+Machinery!U6</f>
        <v>14.084135823</v>
      </c>
      <c r="J37" s="1325">
        <f>H37*I37</f>
        <v>5.873084638191</v>
      </c>
      <c r="K37" s="1357"/>
      <c r="L37" s="1213"/>
      <c r="M37" s="1349"/>
      <c r="N37" s="1325"/>
      <c r="O37" s="1381">
        <f>H37*1.2</f>
        <v>0.50039999999999996</v>
      </c>
      <c r="P37" s="1443">
        <f>Labor!I107</f>
        <v>8.4749230769230781</v>
      </c>
      <c r="Q37" s="1216">
        <f>+$P37*$O37</f>
        <v>4.2408515076923079</v>
      </c>
      <c r="R37" s="1464">
        <f t="shared" si="0"/>
        <v>10.113936145883308</v>
      </c>
      <c r="S37" s="1188"/>
    </row>
    <row r="38" spans="1:19">
      <c r="A38" s="1218"/>
      <c r="B38" s="1219"/>
      <c r="C38" s="816"/>
      <c r="D38" s="816" t="s">
        <v>125</v>
      </c>
      <c r="E38" s="816"/>
      <c r="F38" s="816"/>
      <c r="G38" s="814"/>
      <c r="H38" s="1209"/>
      <c r="I38" s="1462"/>
      <c r="J38" s="1325"/>
      <c r="K38" s="1357">
        <f>Materials!D21</f>
        <v>3.52</v>
      </c>
      <c r="L38" s="1213" t="str">
        <f>+Materials!C21</f>
        <v>quart</v>
      </c>
      <c r="M38" s="1349">
        <f>Materials!B21</f>
        <v>1</v>
      </c>
      <c r="N38" s="1325">
        <f>K38*M38</f>
        <v>3.52</v>
      </c>
      <c r="O38" s="1381"/>
      <c r="P38" s="1443"/>
      <c r="Q38" s="1216"/>
      <c r="R38" s="1464">
        <f t="shared" si="0"/>
        <v>3.52</v>
      </c>
      <c r="S38" s="1188"/>
    </row>
    <row r="39" spans="1:19">
      <c r="A39" s="1218"/>
      <c r="B39" s="1219"/>
      <c r="C39" s="816" t="s">
        <v>32</v>
      </c>
      <c r="D39" s="816"/>
      <c r="E39" s="816"/>
      <c r="F39" s="816"/>
      <c r="G39" s="814" t="s">
        <v>234</v>
      </c>
      <c r="H39" s="1272">
        <v>0.41699999999999998</v>
      </c>
      <c r="I39" s="1462">
        <f>Machinery!U5+Machinery!U6</f>
        <v>14.084135823</v>
      </c>
      <c r="J39" s="1325">
        <f>H39*I39</f>
        <v>5.873084638191</v>
      </c>
      <c r="K39" s="1357"/>
      <c r="L39" s="1213"/>
      <c r="M39" s="1349"/>
      <c r="N39" s="1325"/>
      <c r="O39" s="1381">
        <f>H39*1.2</f>
        <v>0.50039999999999996</v>
      </c>
      <c r="P39" s="1443">
        <f>Labor!I107</f>
        <v>8.4749230769230781</v>
      </c>
      <c r="Q39" s="1216">
        <f>+$P39*$O39</f>
        <v>4.2408515076923079</v>
      </c>
      <c r="R39" s="1464">
        <f t="shared" si="0"/>
        <v>10.113936145883308</v>
      </c>
      <c r="S39" s="1188"/>
    </row>
    <row r="40" spans="1:19" ht="13.5" thickBot="1">
      <c r="A40" s="1218"/>
      <c r="B40" s="1219"/>
      <c r="C40" s="816"/>
      <c r="D40" s="816" t="s">
        <v>290</v>
      </c>
      <c r="E40" s="816"/>
      <c r="F40" s="816"/>
      <c r="G40" s="814"/>
      <c r="H40" s="1209"/>
      <c r="I40" s="1462"/>
      <c r="J40" s="1325"/>
      <c r="K40" s="1357">
        <f>Materials!D20</f>
        <v>46</v>
      </c>
      <c r="L40" s="1213" t="str">
        <f>+Materials!C20</f>
        <v>quart</v>
      </c>
      <c r="M40" s="1349">
        <f>Materials!B20</f>
        <v>2</v>
      </c>
      <c r="N40" s="1325">
        <f>K40*M40</f>
        <v>92</v>
      </c>
      <c r="O40" s="1381"/>
      <c r="P40" s="1443"/>
      <c r="Q40" s="1216"/>
      <c r="R40" s="1464">
        <f t="shared" si="0"/>
        <v>92</v>
      </c>
      <c r="S40" s="1188"/>
    </row>
    <row r="41" spans="1:19" ht="13.5" thickBot="1">
      <c r="A41" s="1189" t="s">
        <v>93</v>
      </c>
      <c r="B41" s="1190"/>
      <c r="C41" s="1110"/>
      <c r="D41" s="1110"/>
      <c r="E41" s="1110"/>
      <c r="F41" s="1110"/>
      <c r="G41" s="1369"/>
      <c r="H41" s="1191">
        <f>SUM(H$24:H$39)</f>
        <v>5.1929999999999996</v>
      </c>
      <c r="I41" s="1198"/>
      <c r="J41" s="1197">
        <f>SUM(J$24:J$40)</f>
        <v>84.277849697229996</v>
      </c>
      <c r="K41" s="1454"/>
      <c r="L41" s="1337"/>
      <c r="M41" s="1229"/>
      <c r="N41" s="1197">
        <f>SUM(N$24:N$40)</f>
        <v>141.59061730994532</v>
      </c>
      <c r="O41" s="1455">
        <f>SUM(O$24:O$40)</f>
        <v>93.001999999999995</v>
      </c>
      <c r="P41" s="1466"/>
      <c r="Q41" s="1197">
        <f>SUM(Q$24:Q$40)</f>
        <v>788.18479600000023</v>
      </c>
      <c r="R41" s="1198">
        <f>SUM(R$24:R$40)</f>
        <v>1014.053263007175</v>
      </c>
      <c r="S41" s="1199">
        <f>J41+N41+Q41</f>
        <v>1014.0532630071755</v>
      </c>
    </row>
    <row r="42" spans="1:19" ht="13.5" thickBot="1">
      <c r="A42" s="1168" t="s">
        <v>57</v>
      </c>
      <c r="B42" s="1467"/>
      <c r="C42" s="1431"/>
      <c r="D42" s="1431"/>
      <c r="E42" s="1431"/>
      <c r="F42" s="1431"/>
      <c r="G42" s="1372"/>
      <c r="H42" s="1226"/>
      <c r="I42" s="1228"/>
      <c r="J42" s="1456"/>
      <c r="K42" s="1266"/>
      <c r="L42" s="1204"/>
      <c r="M42" s="1205"/>
      <c r="N42" s="1227"/>
      <c r="O42" s="1457"/>
      <c r="P42" s="1458"/>
      <c r="Q42" s="1227"/>
      <c r="R42" s="1228"/>
      <c r="S42" s="1208" t="s">
        <v>57</v>
      </c>
    </row>
    <row r="43" spans="1:19">
      <c r="A43" s="1176"/>
      <c r="B43" s="1177">
        <v>301</v>
      </c>
      <c r="C43" s="816" t="s">
        <v>24</v>
      </c>
      <c r="D43" s="816"/>
      <c r="E43" s="816"/>
      <c r="F43" s="816"/>
      <c r="G43" s="814" t="s">
        <v>25</v>
      </c>
      <c r="H43" s="1209"/>
      <c r="I43" s="1441"/>
      <c r="J43" s="1240"/>
      <c r="K43" s="1357">
        <f>Materials!F71</f>
        <v>6</v>
      </c>
      <c r="L43" s="1213" t="s">
        <v>300</v>
      </c>
      <c r="M43" s="1214">
        <v>1</v>
      </c>
      <c r="N43" s="1216">
        <f>+M43*K43</f>
        <v>6</v>
      </c>
      <c r="O43" s="1381"/>
      <c r="P43" s="1443"/>
      <c r="Q43" s="1216"/>
      <c r="R43" s="1440">
        <f t="shared" ref="R43:R52" si="1">$Q43+$N43+$J43</f>
        <v>6</v>
      </c>
      <c r="S43" s="1188"/>
    </row>
    <row r="44" spans="1:19">
      <c r="A44" s="1218"/>
      <c r="B44" s="1219">
        <v>347</v>
      </c>
      <c r="C44" s="816" t="s">
        <v>316</v>
      </c>
      <c r="D44" s="816"/>
      <c r="E44" s="816"/>
      <c r="F44" s="816"/>
      <c r="G44" s="814" t="s">
        <v>235</v>
      </c>
      <c r="H44" s="1272">
        <v>0.41699999999999998</v>
      </c>
      <c r="I44" s="1441">
        <f>Machinery!U5+Machinery!U8</f>
        <v>17.657110248000002</v>
      </c>
      <c r="J44" s="1240">
        <f>H44*I44</f>
        <v>7.3630149734160009</v>
      </c>
      <c r="K44" s="1442"/>
      <c r="L44" s="1213"/>
      <c r="M44" s="1214"/>
      <c r="N44" s="1216"/>
      <c r="O44" s="1381">
        <f>H44*1.2</f>
        <v>0.50039999999999996</v>
      </c>
      <c r="P44" s="1443">
        <f>Labor!I107</f>
        <v>8.4749230769230781</v>
      </c>
      <c r="Q44" s="1216">
        <f>+$P44*$O44</f>
        <v>4.2408515076923079</v>
      </c>
      <c r="R44" s="1440">
        <f t="shared" si="1"/>
        <v>11.603866481108309</v>
      </c>
      <c r="S44" s="1188"/>
    </row>
    <row r="45" spans="1:19">
      <c r="A45" s="1218"/>
      <c r="B45" s="1219"/>
      <c r="C45" s="816"/>
      <c r="D45" s="816" t="s">
        <v>294</v>
      </c>
      <c r="E45" s="816"/>
      <c r="F45" s="816"/>
      <c r="G45" s="814"/>
      <c r="H45" s="1209"/>
      <c r="I45" s="1441"/>
      <c r="J45" s="1240"/>
      <c r="K45" s="1442">
        <f>Materials!D35</f>
        <v>3.5</v>
      </c>
      <c r="L45" s="1472" t="str">
        <f>Materials!C35</f>
        <v>oz</v>
      </c>
      <c r="M45" s="1473">
        <f>Materials!B35</f>
        <v>20</v>
      </c>
      <c r="N45" s="1216">
        <f>K45*M45</f>
        <v>70</v>
      </c>
      <c r="O45" s="1381"/>
      <c r="P45" s="1443"/>
      <c r="Q45" s="1216"/>
      <c r="R45" s="1440">
        <f t="shared" si="1"/>
        <v>70</v>
      </c>
      <c r="S45" s="1188"/>
    </row>
    <row r="46" spans="1:19">
      <c r="A46" s="1218"/>
      <c r="B46" s="1219"/>
      <c r="C46" s="1664" t="s">
        <v>316</v>
      </c>
      <c r="D46" s="1665"/>
      <c r="E46" s="816"/>
      <c r="F46" s="816"/>
      <c r="G46" s="814" t="s">
        <v>235</v>
      </c>
      <c r="H46" s="1272">
        <v>0.41699999999999998</v>
      </c>
      <c r="I46" s="1441">
        <f>Machinery!U5+Machinery!U8</f>
        <v>17.657110248000002</v>
      </c>
      <c r="J46" s="1240">
        <f>H46*I46</f>
        <v>7.3630149734160009</v>
      </c>
      <c r="K46" s="1442"/>
      <c r="L46" s="1213"/>
      <c r="M46" s="1214"/>
      <c r="N46" s="1216"/>
      <c r="O46" s="1381">
        <f>H46*1.2</f>
        <v>0.50039999999999996</v>
      </c>
      <c r="P46" s="1443">
        <f>Labor!I107</f>
        <v>8.4749230769230781</v>
      </c>
      <c r="Q46" s="1216">
        <f>+$P46*$O46</f>
        <v>4.2408515076923079</v>
      </c>
      <c r="R46" s="1440">
        <f t="shared" si="1"/>
        <v>11.603866481108309</v>
      </c>
      <c r="S46" s="1188"/>
    </row>
    <row r="47" spans="1:19">
      <c r="A47" s="1218"/>
      <c r="B47" s="1219"/>
      <c r="C47" s="816"/>
      <c r="D47" s="816" t="s">
        <v>113</v>
      </c>
      <c r="E47" s="816"/>
      <c r="F47" s="816"/>
      <c r="G47" s="814"/>
      <c r="H47" s="1209"/>
      <c r="I47" s="1441"/>
      <c r="J47" s="1240"/>
      <c r="K47" s="1442">
        <f>Materials!D33</f>
        <v>4</v>
      </c>
      <c r="L47" s="1472" t="str">
        <f>Materials!C33</f>
        <v>lb</v>
      </c>
      <c r="M47" s="1214">
        <f>Materials!B33</f>
        <v>4</v>
      </c>
      <c r="N47" s="1216">
        <f>K47*M47</f>
        <v>16</v>
      </c>
      <c r="O47" s="1381"/>
      <c r="P47" s="1443"/>
      <c r="Q47" s="1216"/>
      <c r="R47" s="1440">
        <f t="shared" si="1"/>
        <v>16</v>
      </c>
      <c r="S47" s="1188"/>
    </row>
    <row r="48" spans="1:19">
      <c r="A48" s="1218"/>
      <c r="B48" s="1219"/>
      <c r="C48" s="816"/>
      <c r="D48" s="816" t="s">
        <v>137</v>
      </c>
      <c r="E48" s="816"/>
      <c r="F48" s="816"/>
      <c r="G48" s="814"/>
      <c r="H48" s="1209"/>
      <c r="I48" s="1441"/>
      <c r="J48" s="1240"/>
      <c r="K48" s="1442">
        <f>Materials!D38</f>
        <v>6</v>
      </c>
      <c r="L48" s="1472" t="str">
        <f>Materials!C38</f>
        <v>oz</v>
      </c>
      <c r="M48" s="1214">
        <f>Materials!B38</f>
        <v>2.5</v>
      </c>
      <c r="N48" s="1216">
        <f>K48*M48</f>
        <v>15</v>
      </c>
      <c r="O48" s="1381"/>
      <c r="P48" s="1443"/>
      <c r="Q48" s="1216"/>
      <c r="R48" s="1440">
        <f t="shared" si="1"/>
        <v>15</v>
      </c>
      <c r="S48" s="1188"/>
    </row>
    <row r="49" spans="1:19">
      <c r="A49" s="1218"/>
      <c r="B49" s="1219">
        <v>346</v>
      </c>
      <c r="C49" s="816" t="s">
        <v>91</v>
      </c>
      <c r="D49" s="816"/>
      <c r="E49" s="816"/>
      <c r="F49" s="1178"/>
      <c r="G49" s="814" t="s">
        <v>568</v>
      </c>
      <c r="H49" s="1272">
        <v>3</v>
      </c>
      <c r="I49" s="1324">
        <f>Machinery!U18+Machinery!U17+Machinery!U19</f>
        <v>16.483727893333331</v>
      </c>
      <c r="J49" s="1240">
        <f>H49*I49</f>
        <v>49.451183679999993</v>
      </c>
      <c r="K49" s="1442"/>
      <c r="L49" s="1213"/>
      <c r="M49" s="1214"/>
      <c r="N49" s="1216"/>
      <c r="O49" s="1381">
        <f>H49/6</f>
        <v>0.5</v>
      </c>
      <c r="P49" s="1443">
        <f>Labor!I107</f>
        <v>8.4749230769230781</v>
      </c>
      <c r="Q49" s="1216">
        <f>$O49*$P49</f>
        <v>4.2374615384615391</v>
      </c>
      <c r="R49" s="1440">
        <f t="shared" si="1"/>
        <v>53.688645218461531</v>
      </c>
      <c r="S49" s="1221"/>
    </row>
    <row r="50" spans="1:19">
      <c r="A50" s="1218"/>
      <c r="B50" s="1219"/>
      <c r="C50" s="816"/>
      <c r="D50" s="789" t="s">
        <v>391</v>
      </c>
      <c r="E50" s="816"/>
      <c r="F50" s="816"/>
      <c r="G50" s="814"/>
      <c r="H50" s="1209"/>
      <c r="I50" s="1324"/>
      <c r="J50" s="1325"/>
      <c r="K50" s="1357">
        <f>Materials!D16</f>
        <v>0.22900000000000001</v>
      </c>
      <c r="L50" s="1472" t="str">
        <f>Materials!C12</f>
        <v>lbs</v>
      </c>
      <c r="M50" s="1473">
        <v>100</v>
      </c>
      <c r="N50" s="1325">
        <f>K50*M50</f>
        <v>22.900000000000002</v>
      </c>
      <c r="O50" s="1365"/>
      <c r="P50" s="1220"/>
      <c r="Q50" s="1325"/>
      <c r="R50" s="1464">
        <f t="shared" si="1"/>
        <v>22.900000000000002</v>
      </c>
      <c r="S50" s="1188"/>
    </row>
    <row r="51" spans="1:19">
      <c r="A51" s="1218"/>
      <c r="B51" s="1219">
        <v>348</v>
      </c>
      <c r="C51" s="816" t="s">
        <v>128</v>
      </c>
      <c r="D51" s="816"/>
      <c r="E51" s="816"/>
      <c r="F51" s="816"/>
      <c r="G51" s="814"/>
      <c r="H51" s="1209"/>
      <c r="I51" s="1441"/>
      <c r="J51" s="1240"/>
      <c r="K51" s="1442"/>
      <c r="L51" s="1213"/>
      <c r="M51" s="1214"/>
      <c r="N51" s="1216"/>
      <c r="O51" s="1381">
        <f>2*10000/11500</f>
        <v>1.7391304347826086</v>
      </c>
      <c r="P51" s="1443">
        <f>Labor!I107</f>
        <v>8.4749230769230781</v>
      </c>
      <c r="Q51" s="1325">
        <f>O51*P51</f>
        <v>14.738996655518397</v>
      </c>
      <c r="R51" s="1440">
        <f t="shared" si="1"/>
        <v>14.738996655518397</v>
      </c>
      <c r="S51" s="1221"/>
    </row>
    <row r="52" spans="1:19" ht="13.5" thickBot="1">
      <c r="A52" s="1218"/>
      <c r="B52" s="1444">
        <v>349</v>
      </c>
      <c r="C52" s="816" t="s">
        <v>129</v>
      </c>
      <c r="D52" s="816"/>
      <c r="E52" s="816"/>
      <c r="F52" s="816"/>
      <c r="G52" s="809"/>
      <c r="H52" s="1446"/>
      <c r="I52" s="1441"/>
      <c r="J52" s="1447"/>
      <c r="K52" s="1442">
        <f>Materials!D69</f>
        <v>75</v>
      </c>
      <c r="L52" s="1213" t="s">
        <v>130</v>
      </c>
      <c r="M52" s="1453">
        <f>Materials!B69</f>
        <v>2</v>
      </c>
      <c r="N52" s="1216">
        <f>K52*M52</f>
        <v>150</v>
      </c>
      <c r="O52" s="1381"/>
      <c r="P52" s="1443"/>
      <c r="Q52" s="1447"/>
      <c r="R52" s="1440">
        <f t="shared" si="1"/>
        <v>150</v>
      </c>
      <c r="S52" s="1188"/>
    </row>
    <row r="53" spans="1:19" ht="13.5" thickBot="1">
      <c r="A53" s="1189" t="s">
        <v>58</v>
      </c>
      <c r="B53" s="1190"/>
      <c r="C53" s="1110"/>
      <c r="D53" s="1110"/>
      <c r="E53" s="1110"/>
      <c r="F53" s="1110"/>
      <c r="G53" s="1369"/>
      <c r="H53" s="1191">
        <f>SUM(H43:H52)</f>
        <v>3.8340000000000001</v>
      </c>
      <c r="I53" s="1198"/>
      <c r="J53" s="1474">
        <f>SUM(J$43:J$52)</f>
        <v>64.177213626832</v>
      </c>
      <c r="K53" s="1454"/>
      <c r="L53" s="1360"/>
      <c r="M53" s="1195"/>
      <c r="N53" s="1197">
        <f>SUM(N$43:N$52)</f>
        <v>279.89999999999998</v>
      </c>
      <c r="O53" s="1455">
        <f>SUM(O$43:O$52)</f>
        <v>3.2399304347826083</v>
      </c>
      <c r="P53" s="1466"/>
      <c r="Q53" s="1197">
        <f>SUM(Q$43:Q$52)</f>
        <v>27.458161209364555</v>
      </c>
      <c r="R53" s="1195">
        <f>SUM(R43:R52)</f>
        <v>371.53537483619652</v>
      </c>
      <c r="S53" s="1199">
        <f>J53+N53+Q53</f>
        <v>371.53537483619652</v>
      </c>
    </row>
    <row r="54" spans="1:19" ht="13.5" thickBot="1">
      <c r="A54" s="1168" t="s">
        <v>28</v>
      </c>
      <c r="B54" s="1467"/>
      <c r="C54" s="1431"/>
      <c r="D54" s="1431"/>
      <c r="E54" s="1431"/>
      <c r="F54" s="1431"/>
      <c r="G54" s="1372"/>
      <c r="H54" s="1226"/>
      <c r="I54" s="1228"/>
      <c r="J54" s="1456"/>
      <c r="K54" s="1266"/>
      <c r="L54" s="1204"/>
      <c r="M54" s="1205"/>
      <c r="N54" s="1227"/>
      <c r="O54" s="1457"/>
      <c r="P54" s="1458"/>
      <c r="Q54" s="1227"/>
      <c r="R54" s="1228"/>
      <c r="S54" s="1208" t="s">
        <v>28</v>
      </c>
    </row>
    <row r="55" spans="1:19">
      <c r="A55" s="1176"/>
      <c r="B55" s="1177">
        <v>301</v>
      </c>
      <c r="C55" s="816" t="s">
        <v>24</v>
      </c>
      <c r="D55" s="816"/>
      <c r="E55" s="816"/>
      <c r="F55" s="816"/>
      <c r="G55" s="814" t="s">
        <v>25</v>
      </c>
      <c r="H55" s="1209"/>
      <c r="I55" s="1441"/>
      <c r="J55" s="1240"/>
      <c r="K55" s="1357">
        <f>Materials!F71</f>
        <v>6</v>
      </c>
      <c r="L55" s="1213" t="s">
        <v>300</v>
      </c>
      <c r="M55" s="1214">
        <v>1</v>
      </c>
      <c r="N55" s="1216">
        <f>+$M55*$K55</f>
        <v>6</v>
      </c>
      <c r="O55" s="1381"/>
      <c r="P55" s="1443"/>
      <c r="Q55" s="1216"/>
      <c r="R55" s="1440">
        <f t="shared" ref="R55:R71" si="2">$Q55+$N55+$J55</f>
        <v>6</v>
      </c>
      <c r="S55" s="1188"/>
    </row>
    <row r="56" spans="1:19">
      <c r="A56" s="1218"/>
      <c r="B56" s="1219">
        <v>309</v>
      </c>
      <c r="C56" s="816" t="s">
        <v>73</v>
      </c>
      <c r="D56" s="816"/>
      <c r="E56" s="816"/>
      <c r="F56" s="816"/>
      <c r="G56" s="814" t="s">
        <v>233</v>
      </c>
      <c r="H56" s="1209">
        <v>0.5</v>
      </c>
      <c r="I56" s="1324">
        <f>Machinery!U5+Machinery!U9</f>
        <v>14.78363566577778</v>
      </c>
      <c r="J56" s="1325">
        <f>H56*I56</f>
        <v>7.3918178328888899</v>
      </c>
      <c r="K56" s="1374"/>
      <c r="L56" s="1213"/>
      <c r="M56" s="1354"/>
      <c r="N56" s="1325"/>
      <c r="O56" s="1381">
        <f>H56*1.2</f>
        <v>0.6</v>
      </c>
      <c r="P56" s="1443">
        <f>Labor!I107</f>
        <v>8.4749230769230781</v>
      </c>
      <c r="Q56" s="1355">
        <f>O56*8.25</f>
        <v>4.95</v>
      </c>
      <c r="R56" s="1440">
        <f t="shared" si="2"/>
        <v>12.341817832888889</v>
      </c>
      <c r="S56" s="1356"/>
    </row>
    <row r="57" spans="1:19">
      <c r="A57" s="1218"/>
      <c r="B57" s="1219"/>
      <c r="C57" s="816" t="s">
        <v>91</v>
      </c>
      <c r="D57" s="816"/>
      <c r="E57" s="816"/>
      <c r="F57" s="1178"/>
      <c r="G57" s="814" t="s">
        <v>568</v>
      </c>
      <c r="H57" s="1209">
        <v>3</v>
      </c>
      <c r="I57" s="1324">
        <f>Machinery!U18+Machinery!U17+Machinery!U19</f>
        <v>16.483727893333331</v>
      </c>
      <c r="J57" s="1240">
        <f>H57*I57</f>
        <v>49.451183679999993</v>
      </c>
      <c r="K57" s="1442"/>
      <c r="L57" s="1213"/>
      <c r="M57" s="1214"/>
      <c r="N57" s="1216"/>
      <c r="O57" s="1381">
        <f>$H57/6</f>
        <v>0.5</v>
      </c>
      <c r="P57" s="1443">
        <f>Labor!I107</f>
        <v>8.4749230769230781</v>
      </c>
      <c r="Q57" s="1216">
        <f>$O57*$P57</f>
        <v>4.2374615384615391</v>
      </c>
      <c r="R57" s="1440">
        <f t="shared" si="2"/>
        <v>53.688645218461531</v>
      </c>
      <c r="S57" s="1221"/>
    </row>
    <row r="58" spans="1:19">
      <c r="A58" s="1218"/>
      <c r="B58" s="1219"/>
      <c r="C58" s="816"/>
      <c r="D58" s="789" t="s">
        <v>391</v>
      </c>
      <c r="E58" s="816"/>
      <c r="F58" s="816"/>
      <c r="G58" s="814"/>
      <c r="H58" s="1209"/>
      <c r="I58" s="1324"/>
      <c r="J58" s="1325"/>
      <c r="K58" s="1357">
        <f>Materials!D16</f>
        <v>0.22900000000000001</v>
      </c>
      <c r="L58" s="1472" t="str">
        <f>Materials!C14</f>
        <v>lbs</v>
      </c>
      <c r="M58" s="1473">
        <v>100</v>
      </c>
      <c r="N58" s="1325">
        <f>K58*M58</f>
        <v>22.900000000000002</v>
      </c>
      <c r="O58" s="1365"/>
      <c r="P58" s="1220"/>
      <c r="Q58" s="1325"/>
      <c r="R58" s="1464">
        <f t="shared" si="2"/>
        <v>22.900000000000002</v>
      </c>
      <c r="S58" s="1188"/>
    </row>
    <row r="59" spans="1:19">
      <c r="A59" s="1218"/>
      <c r="B59" s="1219">
        <v>350</v>
      </c>
      <c r="C59" s="1664" t="s">
        <v>318</v>
      </c>
      <c r="D59" s="1665"/>
      <c r="E59" s="1665"/>
      <c r="F59" s="816"/>
      <c r="G59" s="814" t="s">
        <v>235</v>
      </c>
      <c r="H59" s="1272">
        <v>0.41699999999999998</v>
      </c>
      <c r="I59" s="1441">
        <f>Machinery!U5+Machinery!U8</f>
        <v>17.657110248000002</v>
      </c>
      <c r="J59" s="1325">
        <f>H59*I59</f>
        <v>7.3630149734160009</v>
      </c>
      <c r="K59" s="1442"/>
      <c r="L59" s="1213"/>
      <c r="M59" s="1214"/>
      <c r="N59" s="1216"/>
      <c r="O59" s="1381">
        <f>H59*1.2</f>
        <v>0.50039999999999996</v>
      </c>
      <c r="P59" s="1443">
        <f>Labor!I107</f>
        <v>8.4749230769230781</v>
      </c>
      <c r="Q59" s="1216">
        <f>$O59*$P59</f>
        <v>4.2408515076923079</v>
      </c>
      <c r="R59" s="1440">
        <f t="shared" si="2"/>
        <v>11.603866481108309</v>
      </c>
      <c r="S59" s="1188"/>
    </row>
    <row r="60" spans="1:19">
      <c r="A60" s="1218"/>
      <c r="B60" s="1219"/>
      <c r="C60" s="816"/>
      <c r="D60" s="816" t="s">
        <v>301</v>
      </c>
      <c r="E60" s="816"/>
      <c r="F60" s="816"/>
      <c r="G60" s="814"/>
      <c r="H60" s="1209"/>
      <c r="I60" s="1441"/>
      <c r="J60" s="1325"/>
      <c r="K60" s="1442">
        <f>Materials!D26</f>
        <v>0.51930810916211012</v>
      </c>
      <c r="L60" s="1472" t="str">
        <f>Materials!C26</f>
        <v>oz</v>
      </c>
      <c r="M60" s="1214">
        <f>Materials!B26</f>
        <v>6</v>
      </c>
      <c r="N60" s="1216">
        <f>K60*M60</f>
        <v>3.1158486549726607</v>
      </c>
      <c r="O60" s="1381"/>
      <c r="P60" s="1443"/>
      <c r="Q60" s="1216"/>
      <c r="R60" s="1440">
        <f t="shared" si="2"/>
        <v>3.1158486549726607</v>
      </c>
      <c r="S60" s="1188"/>
    </row>
    <row r="61" spans="1:19">
      <c r="A61" s="1218"/>
      <c r="B61" s="1219"/>
      <c r="C61" s="816"/>
      <c r="D61" s="816" t="s">
        <v>133</v>
      </c>
      <c r="E61" s="816"/>
      <c r="F61" s="816"/>
      <c r="G61" s="814"/>
      <c r="H61" s="1209"/>
      <c r="I61" s="1441"/>
      <c r="J61" s="1325"/>
      <c r="K61" s="1442">
        <f>Materials!D36</f>
        <v>40</v>
      </c>
      <c r="L61" s="1472" t="str">
        <f>Materials!C36</f>
        <v>lbs</v>
      </c>
      <c r="M61" s="1214">
        <f>Materials!B36</f>
        <v>1.5</v>
      </c>
      <c r="N61" s="1216">
        <f>K61*M61</f>
        <v>60</v>
      </c>
      <c r="O61" s="1381"/>
      <c r="P61" s="1443"/>
      <c r="Q61" s="1216"/>
      <c r="R61" s="1440">
        <f t="shared" si="2"/>
        <v>60</v>
      </c>
      <c r="S61" s="1188"/>
    </row>
    <row r="62" spans="1:19">
      <c r="A62" s="1218"/>
      <c r="B62" s="1219"/>
      <c r="C62" s="1664" t="s">
        <v>316</v>
      </c>
      <c r="D62" s="1665"/>
      <c r="E62" s="816"/>
      <c r="F62" s="816"/>
      <c r="G62" s="814" t="s">
        <v>235</v>
      </c>
      <c r="H62" s="1272">
        <v>0.41699999999999998</v>
      </c>
      <c r="I62" s="1441">
        <f>Machinery!U5+Machinery!U8</f>
        <v>17.657110248000002</v>
      </c>
      <c r="J62" s="1325">
        <f>H62*I62</f>
        <v>7.3630149734160009</v>
      </c>
      <c r="K62" s="1442"/>
      <c r="L62" s="1213"/>
      <c r="M62" s="1214"/>
      <c r="N62" s="1216"/>
      <c r="O62" s="1381">
        <f>H62*1.2</f>
        <v>0.50039999999999996</v>
      </c>
      <c r="P62" s="1443">
        <f>Labor!I107</f>
        <v>8.4749230769230781</v>
      </c>
      <c r="Q62" s="1216">
        <f>$O62*$P62</f>
        <v>4.2408515076923079</v>
      </c>
      <c r="R62" s="1440">
        <f t="shared" si="2"/>
        <v>11.603866481108309</v>
      </c>
      <c r="S62" s="1188"/>
    </row>
    <row r="63" spans="1:19">
      <c r="A63" s="1218"/>
      <c r="B63" s="1219"/>
      <c r="C63" s="816"/>
      <c r="D63" s="816" t="s">
        <v>126</v>
      </c>
      <c r="E63" s="816"/>
      <c r="F63" s="816"/>
      <c r="G63" s="814"/>
      <c r="H63" s="1209"/>
      <c r="I63" s="1441"/>
      <c r="J63" s="1325"/>
      <c r="K63" s="1442">
        <f>Materials!D33</f>
        <v>4</v>
      </c>
      <c r="L63" s="1472" t="str">
        <f>Materials!C33</f>
        <v>lb</v>
      </c>
      <c r="M63" s="1214">
        <f>Materials!B33</f>
        <v>4</v>
      </c>
      <c r="N63" s="1216">
        <f>K63*M63</f>
        <v>16</v>
      </c>
      <c r="O63" s="1381"/>
      <c r="P63" s="1443"/>
      <c r="Q63" s="1216"/>
      <c r="R63" s="1440">
        <f t="shared" si="2"/>
        <v>16</v>
      </c>
      <c r="S63" s="1188"/>
    </row>
    <row r="64" spans="1:19">
      <c r="A64" s="1218"/>
      <c r="B64" s="1219"/>
      <c r="C64" s="816"/>
      <c r="D64" s="816" t="s">
        <v>137</v>
      </c>
      <c r="E64" s="816"/>
      <c r="F64" s="816"/>
      <c r="G64" s="814"/>
      <c r="H64" s="1209"/>
      <c r="I64" s="1441"/>
      <c r="J64" s="1325"/>
      <c r="K64" s="1442">
        <f>Materials!D38</f>
        <v>6</v>
      </c>
      <c r="L64" s="1472" t="str">
        <f>Materials!C38</f>
        <v>oz</v>
      </c>
      <c r="M64" s="1214">
        <f>Materials!B38</f>
        <v>2.5</v>
      </c>
      <c r="N64" s="1216">
        <f>K64*M64</f>
        <v>15</v>
      </c>
      <c r="O64" s="1381"/>
      <c r="P64" s="1443"/>
      <c r="Q64" s="1216"/>
      <c r="R64" s="1440">
        <f t="shared" si="2"/>
        <v>15</v>
      </c>
      <c r="S64" s="1188"/>
    </row>
    <row r="65" spans="1:19">
      <c r="A65" s="1218"/>
      <c r="B65" s="1219"/>
      <c r="C65" s="1664" t="s">
        <v>317</v>
      </c>
      <c r="D65" s="1665"/>
      <c r="E65" s="1665"/>
      <c r="F65" s="816"/>
      <c r="G65" s="814" t="s">
        <v>235</v>
      </c>
      <c r="H65" s="1272">
        <v>0.41699999999999998</v>
      </c>
      <c r="I65" s="1441">
        <f>Machinery!U5+Machinery!U8</f>
        <v>17.657110248000002</v>
      </c>
      <c r="J65" s="1325">
        <f>H65*I65</f>
        <v>7.3630149734160009</v>
      </c>
      <c r="K65" s="1442"/>
      <c r="L65" s="1213"/>
      <c r="M65" s="1214"/>
      <c r="N65" s="1216"/>
      <c r="O65" s="1381">
        <f>H65*1.2</f>
        <v>0.50039999999999996</v>
      </c>
      <c r="P65" s="1443">
        <f>Labor!I107</f>
        <v>8.4749230769230781</v>
      </c>
      <c r="Q65" s="1216">
        <f>$O65*$P65</f>
        <v>4.2408515076923079</v>
      </c>
      <c r="R65" s="1440">
        <f t="shared" si="2"/>
        <v>11.603866481108309</v>
      </c>
      <c r="S65" s="1188"/>
    </row>
    <row r="66" spans="1:19">
      <c r="A66" s="1218"/>
      <c r="B66" s="1219"/>
      <c r="C66" s="816"/>
      <c r="D66" s="816" t="s">
        <v>293</v>
      </c>
      <c r="E66" s="816"/>
      <c r="F66" s="816"/>
      <c r="G66" s="814"/>
      <c r="H66" s="1209"/>
      <c r="I66" s="1441"/>
      <c r="J66" s="1325"/>
      <c r="K66" s="1442">
        <f>Materials!D24</f>
        <v>16</v>
      </c>
      <c r="L66" s="1472" t="str">
        <f>Materials!C24</f>
        <v>oz</v>
      </c>
      <c r="M66" s="1214">
        <f>Materials!B24</f>
        <v>4</v>
      </c>
      <c r="N66" s="1216">
        <f>K66*M66</f>
        <v>64</v>
      </c>
      <c r="O66" s="1381"/>
      <c r="P66" s="1443"/>
      <c r="Q66" s="1216"/>
      <c r="R66" s="1440">
        <f t="shared" si="2"/>
        <v>64</v>
      </c>
      <c r="S66" s="1188"/>
    </row>
    <row r="67" spans="1:19">
      <c r="A67" s="1218"/>
      <c r="B67" s="1219"/>
      <c r="C67" s="1664" t="s">
        <v>316</v>
      </c>
      <c r="D67" s="1665"/>
      <c r="E67" s="1665"/>
      <c r="F67" s="816"/>
      <c r="G67" s="814" t="s">
        <v>235</v>
      </c>
      <c r="H67" s="1272">
        <v>0.41699999999999998</v>
      </c>
      <c r="I67" s="1441">
        <f>Machinery!U5+Machinery!U8</f>
        <v>17.657110248000002</v>
      </c>
      <c r="J67" s="1325">
        <f>H67*I67</f>
        <v>7.3630149734160009</v>
      </c>
      <c r="K67" s="1442"/>
      <c r="L67" s="1213"/>
      <c r="M67" s="1214"/>
      <c r="N67" s="1216"/>
      <c r="O67" s="1381">
        <f>H67*1.2</f>
        <v>0.50039999999999996</v>
      </c>
      <c r="P67" s="1443">
        <f>Labor!I107</f>
        <v>8.4749230769230781</v>
      </c>
      <c r="Q67" s="1216">
        <f>$O67*$P67</f>
        <v>4.2408515076923079</v>
      </c>
      <c r="R67" s="1440">
        <f t="shared" si="2"/>
        <v>11.603866481108309</v>
      </c>
      <c r="S67" s="1188"/>
    </row>
    <row r="68" spans="1:19">
      <c r="A68" s="1218"/>
      <c r="B68" s="1219"/>
      <c r="C68" s="809"/>
      <c r="D68" s="809" t="s">
        <v>294</v>
      </c>
      <c r="E68" s="809"/>
      <c r="F68" s="816"/>
      <c r="G68" s="814"/>
      <c r="H68" s="1209"/>
      <c r="I68" s="1441"/>
      <c r="J68" s="1325"/>
      <c r="K68" s="1442">
        <f>Materials!D35</f>
        <v>3.5</v>
      </c>
      <c r="L68" s="1472" t="str">
        <f>Materials!C35</f>
        <v>oz</v>
      </c>
      <c r="M68" s="1214">
        <f>Materials!B35</f>
        <v>20</v>
      </c>
      <c r="N68" s="1216">
        <f>K68*M68</f>
        <v>70</v>
      </c>
      <c r="O68" s="1381"/>
      <c r="P68" s="1443"/>
      <c r="Q68" s="1216"/>
      <c r="R68" s="1440">
        <f t="shared" si="2"/>
        <v>70</v>
      </c>
      <c r="S68" s="1188"/>
    </row>
    <row r="69" spans="1:19">
      <c r="A69" s="1218"/>
      <c r="B69" s="1219">
        <v>347</v>
      </c>
      <c r="C69" s="816" t="s">
        <v>135</v>
      </c>
      <c r="D69" s="816"/>
      <c r="E69" s="816"/>
      <c r="F69" s="816"/>
      <c r="G69" s="814"/>
      <c r="H69" s="1209"/>
      <c r="I69" s="1441"/>
      <c r="J69" s="1240"/>
      <c r="K69" s="1442"/>
      <c r="L69" s="1213"/>
      <c r="M69" s="1214"/>
      <c r="N69" s="1216"/>
      <c r="O69" s="1511">
        <v>0.5</v>
      </c>
      <c r="P69" s="1443">
        <f>Labor!I107</f>
        <v>8.4749230769230781</v>
      </c>
      <c r="Q69" s="1216">
        <f>$O69*$P69</f>
        <v>4.2374615384615391</v>
      </c>
      <c r="R69" s="1440">
        <f t="shared" si="2"/>
        <v>4.2374615384615391</v>
      </c>
      <c r="S69" s="1221"/>
    </row>
    <row r="70" spans="1:19">
      <c r="A70" s="1218"/>
      <c r="B70" s="1219">
        <v>337</v>
      </c>
      <c r="C70" s="816" t="s">
        <v>106</v>
      </c>
      <c r="D70" s="816"/>
      <c r="E70" s="816"/>
      <c r="F70" s="816"/>
      <c r="G70" s="814" t="s">
        <v>92</v>
      </c>
      <c r="H70" s="1272">
        <v>30</v>
      </c>
      <c r="I70" s="1462">
        <f>Machinery!U19+Machinery!U18</f>
        <v>16.263367866666666</v>
      </c>
      <c r="J70" s="1240">
        <f>H70*I70</f>
        <v>487.90103599999998</v>
      </c>
      <c r="K70" s="1442"/>
      <c r="L70" s="1213"/>
      <c r="M70" s="1214"/>
      <c r="N70" s="1216"/>
      <c r="O70" s="1381">
        <f>(H70/3)*0.5</f>
        <v>5</v>
      </c>
      <c r="P70" s="1443">
        <f>Labor!I107</f>
        <v>8.4749230769230781</v>
      </c>
      <c r="Q70" s="1216">
        <f>$O70*$P70</f>
        <v>42.374615384615389</v>
      </c>
      <c r="R70" s="1440">
        <f t="shared" si="2"/>
        <v>530.27565138461534</v>
      </c>
      <c r="S70" s="1188"/>
    </row>
    <row r="71" spans="1:19" ht="13.5" thickBot="1">
      <c r="A71" s="1218"/>
      <c r="B71" s="1444">
        <v>349</v>
      </c>
      <c r="C71" s="816" t="s">
        <v>136</v>
      </c>
      <c r="D71" s="816"/>
      <c r="E71" s="816"/>
      <c r="F71" s="816"/>
      <c r="G71" s="809"/>
      <c r="H71" s="1446"/>
      <c r="I71" s="1441"/>
      <c r="J71" s="1447"/>
      <c r="K71" s="1357">
        <f>Materials!D69</f>
        <v>75</v>
      </c>
      <c r="L71" s="1213" t="s">
        <v>130</v>
      </c>
      <c r="M71" s="1453">
        <f>M52</f>
        <v>2</v>
      </c>
      <c r="N71" s="1216">
        <f>K71*M71</f>
        <v>150</v>
      </c>
      <c r="O71" s="1381"/>
      <c r="P71" s="1443"/>
      <c r="Q71" s="1447"/>
      <c r="R71" s="1440">
        <f t="shared" si="2"/>
        <v>150</v>
      </c>
      <c r="S71" s="1188"/>
    </row>
    <row r="72" spans="1:19" ht="13.5" thickBot="1">
      <c r="A72" s="1189" t="s">
        <v>29</v>
      </c>
      <c r="B72" s="1190"/>
      <c r="C72" s="1110"/>
      <c r="D72" s="1110"/>
      <c r="E72" s="1110"/>
      <c r="F72" s="1110"/>
      <c r="G72" s="1369"/>
      <c r="H72" s="1191">
        <f>SUM(H$55:H$71)</f>
        <v>35.167999999999999</v>
      </c>
      <c r="I72" s="1198"/>
      <c r="J72" s="1197">
        <f>SUM(J$55:J$71)</f>
        <v>574.19609740655289</v>
      </c>
      <c r="K72" s="1454"/>
      <c r="L72" s="1337"/>
      <c r="M72" s="1229"/>
      <c r="N72" s="1197">
        <f>SUM(N$55:N$71)</f>
        <v>407.01584865497267</v>
      </c>
      <c r="O72" s="1455">
        <f>SUM(O$55:O$71)</f>
        <v>8.6015999999999995</v>
      </c>
      <c r="P72" s="1466"/>
      <c r="Q72" s="1197">
        <f>SUM(Q$55:Q$71)</f>
        <v>72.762944492307696</v>
      </c>
      <c r="R72" s="1195">
        <f>SUM(R$55:R$71)</f>
        <v>1053.9748905538331</v>
      </c>
      <c r="S72" s="1199">
        <f>J72+N72+Q72</f>
        <v>1053.9748905538333</v>
      </c>
    </row>
    <row r="73" spans="1:19" ht="13.5" thickBot="1">
      <c r="A73" s="1168" t="s">
        <v>105</v>
      </c>
      <c r="B73" s="1467"/>
      <c r="C73" s="1431"/>
      <c r="D73" s="1431"/>
      <c r="E73" s="1431"/>
      <c r="F73" s="1431"/>
      <c r="G73" s="1372"/>
      <c r="H73" s="1226"/>
      <c r="I73" s="1228"/>
      <c r="J73" s="1456"/>
      <c r="K73" s="1266"/>
      <c r="L73" s="1204"/>
      <c r="M73" s="1205"/>
      <c r="N73" s="1227"/>
      <c r="O73" s="1457"/>
      <c r="P73" s="1458"/>
      <c r="Q73" s="1227"/>
      <c r="R73" s="1228"/>
      <c r="S73" s="1208" t="s">
        <v>105</v>
      </c>
    </row>
    <row r="74" spans="1:19">
      <c r="A74" s="1176"/>
      <c r="B74" s="1177">
        <v>301</v>
      </c>
      <c r="C74" s="816" t="s">
        <v>24</v>
      </c>
      <c r="D74" s="816"/>
      <c r="E74" s="816"/>
      <c r="F74" s="816"/>
      <c r="G74" s="814" t="s">
        <v>25</v>
      </c>
      <c r="H74" s="1209"/>
      <c r="I74" s="1441"/>
      <c r="J74" s="1240"/>
      <c r="K74" s="1357">
        <f>Materials!F71</f>
        <v>6</v>
      </c>
      <c r="L74" s="1213" t="s">
        <v>300</v>
      </c>
      <c r="M74" s="1214">
        <v>1</v>
      </c>
      <c r="N74" s="1216">
        <f>+M74*K74</f>
        <v>6</v>
      </c>
      <c r="O74" s="1381"/>
      <c r="P74" s="1443"/>
      <c r="Q74" s="1216"/>
      <c r="R74" s="1440">
        <f t="shared" ref="R74:R94" si="3">$Q74+$N74+$J74</f>
        <v>6</v>
      </c>
      <c r="S74" s="1188"/>
    </row>
    <row r="75" spans="1:19">
      <c r="A75" s="1475"/>
      <c r="B75" s="1219">
        <v>309</v>
      </c>
      <c r="C75" s="816" t="s">
        <v>100</v>
      </c>
      <c r="D75" s="816"/>
      <c r="E75" s="816"/>
      <c r="F75" s="816"/>
      <c r="G75" s="814" t="s">
        <v>233</v>
      </c>
      <c r="H75" s="1406">
        <v>0.5</v>
      </c>
      <c r="I75" s="1324">
        <f>Machinery!U5+Machinery!U9</f>
        <v>14.78363566577778</v>
      </c>
      <c r="J75" s="1325">
        <f>H75*I75</f>
        <v>7.3918178328888899</v>
      </c>
      <c r="K75" s="1357"/>
      <c r="L75" s="1213"/>
      <c r="M75" s="1354"/>
      <c r="N75" s="1325"/>
      <c r="O75" s="1381">
        <f>H75*1.2</f>
        <v>0.6</v>
      </c>
      <c r="P75" s="1443">
        <f>Labor!I107</f>
        <v>8.4749230769230781</v>
      </c>
      <c r="Q75" s="1355">
        <f>O75*8.25</f>
        <v>4.95</v>
      </c>
      <c r="R75" s="1440">
        <f t="shared" si="3"/>
        <v>12.341817832888889</v>
      </c>
      <c r="S75" s="1188"/>
    </row>
    <row r="76" spans="1:19">
      <c r="A76" s="1218"/>
      <c r="B76" s="1219">
        <v>347</v>
      </c>
      <c r="C76" s="816" t="s">
        <v>135</v>
      </c>
      <c r="D76" s="816"/>
      <c r="E76" s="816"/>
      <c r="F76" s="816"/>
      <c r="G76" s="814"/>
      <c r="H76" s="1209"/>
      <c r="I76" s="1441"/>
      <c r="J76" s="1240"/>
      <c r="K76" s="1442"/>
      <c r="L76" s="1213"/>
      <c r="M76" s="1214"/>
      <c r="N76" s="1216"/>
      <c r="O76" s="1511">
        <v>0.5</v>
      </c>
      <c r="P76" s="1443">
        <f>Labor!I107</f>
        <v>8.4749230769230781</v>
      </c>
      <c r="Q76" s="1216">
        <f>O76*P76</f>
        <v>4.2374615384615391</v>
      </c>
      <c r="R76" s="1440">
        <f t="shared" si="3"/>
        <v>4.2374615384615391</v>
      </c>
      <c r="S76" s="1221"/>
    </row>
    <row r="77" spans="1:19">
      <c r="A77" s="1218"/>
      <c r="B77" s="1444">
        <v>349</v>
      </c>
      <c r="C77" s="816" t="s">
        <v>136</v>
      </c>
      <c r="D77" s="816"/>
      <c r="E77" s="816"/>
      <c r="F77" s="816"/>
      <c r="G77" s="809"/>
      <c r="H77" s="1446"/>
      <c r="I77" s="1441"/>
      <c r="J77" s="1447"/>
      <c r="K77" s="1442">
        <f>K71</f>
        <v>75</v>
      </c>
      <c r="L77" s="1213" t="s">
        <v>130</v>
      </c>
      <c r="M77" s="1453">
        <f>M71</f>
        <v>2</v>
      </c>
      <c r="N77" s="1216">
        <f>K77*M77</f>
        <v>150</v>
      </c>
      <c r="O77" s="1381"/>
      <c r="P77" s="1443"/>
      <c r="Q77" s="1447"/>
      <c r="R77" s="1440">
        <f t="shared" si="3"/>
        <v>150</v>
      </c>
      <c r="S77" s="1188"/>
    </row>
    <row r="78" spans="1:19">
      <c r="A78" s="1218"/>
      <c r="B78" s="1219">
        <v>350</v>
      </c>
      <c r="C78" s="1664" t="s">
        <v>316</v>
      </c>
      <c r="D78" s="1665"/>
      <c r="E78" s="816"/>
      <c r="F78" s="816"/>
      <c r="G78" s="814" t="s">
        <v>235</v>
      </c>
      <c r="H78" s="1272">
        <v>0.41699999999999998</v>
      </c>
      <c r="I78" s="1441">
        <f>Machinery!U5+Machinery!U8</f>
        <v>17.657110248000002</v>
      </c>
      <c r="J78" s="1325">
        <f>H78*I78</f>
        <v>7.3630149734160009</v>
      </c>
      <c r="K78" s="1442"/>
      <c r="L78" s="1213"/>
      <c r="M78" s="1214"/>
      <c r="N78" s="1216"/>
      <c r="O78" s="1381">
        <f>H78*1.2</f>
        <v>0.50039999999999996</v>
      </c>
      <c r="P78" s="1443">
        <f>Labor!I107</f>
        <v>8.4749230769230781</v>
      </c>
      <c r="Q78" s="1216">
        <f>$O78*$P78</f>
        <v>4.2408515076923079</v>
      </c>
      <c r="R78" s="1440">
        <f t="shared" si="3"/>
        <v>11.603866481108309</v>
      </c>
      <c r="S78" s="1188"/>
    </row>
    <row r="79" spans="1:19">
      <c r="A79" s="1218"/>
      <c r="B79" s="1219"/>
      <c r="C79" s="816"/>
      <c r="D79" s="816" t="s">
        <v>133</v>
      </c>
      <c r="E79" s="816"/>
      <c r="F79" s="816"/>
      <c r="G79" s="814"/>
      <c r="H79" s="1209"/>
      <c r="I79" s="1441"/>
      <c r="J79" s="1325"/>
      <c r="K79" s="1442">
        <f>Materials!D36</f>
        <v>40</v>
      </c>
      <c r="L79" s="1472" t="str">
        <f>Materials!C36</f>
        <v>lbs</v>
      </c>
      <c r="M79" s="1214">
        <f>Materials!B36</f>
        <v>1.5</v>
      </c>
      <c r="N79" s="1216">
        <f>K79*M79</f>
        <v>60</v>
      </c>
      <c r="O79" s="1381"/>
      <c r="P79" s="1443"/>
      <c r="Q79" s="1216"/>
      <c r="R79" s="1440">
        <f t="shared" si="3"/>
        <v>60</v>
      </c>
      <c r="S79" s="1188"/>
    </row>
    <row r="80" spans="1:19">
      <c r="A80" s="1218"/>
      <c r="B80" s="1219"/>
      <c r="C80" s="1664" t="s">
        <v>316</v>
      </c>
      <c r="D80" s="1665"/>
      <c r="E80" s="816"/>
      <c r="F80" s="816"/>
      <c r="G80" s="814" t="s">
        <v>235</v>
      </c>
      <c r="H80" s="1272">
        <v>0.41699999999999998</v>
      </c>
      <c r="I80" s="1441">
        <f>Machinery!U5+Machinery!U8</f>
        <v>17.657110248000002</v>
      </c>
      <c r="J80" s="1325">
        <f>H80*I80</f>
        <v>7.3630149734160009</v>
      </c>
      <c r="K80" s="1442"/>
      <c r="L80" s="1213"/>
      <c r="M80" s="1214"/>
      <c r="N80" s="1216"/>
      <c r="O80" s="1381">
        <f>H80*1.2</f>
        <v>0.50039999999999996</v>
      </c>
      <c r="P80" s="1443">
        <f>Labor!I107</f>
        <v>8.4749230769230781</v>
      </c>
      <c r="Q80" s="1216">
        <f>$O80*$P80</f>
        <v>4.2408515076923079</v>
      </c>
      <c r="R80" s="1440">
        <f t="shared" si="3"/>
        <v>11.603866481108309</v>
      </c>
      <c r="S80" s="1188"/>
    </row>
    <row r="81" spans="1:19">
      <c r="A81" s="1218"/>
      <c r="B81" s="1219"/>
      <c r="C81" s="816"/>
      <c r="D81" s="764" t="s">
        <v>294</v>
      </c>
      <c r="E81" s="816"/>
      <c r="F81" s="816"/>
      <c r="G81" s="814"/>
      <c r="H81" s="1209"/>
      <c r="I81" s="1441"/>
      <c r="J81" s="1325"/>
      <c r="K81" s="1442">
        <f>Materials!D35</f>
        <v>3.5</v>
      </c>
      <c r="L81" s="1472" t="str">
        <f>Materials!C35</f>
        <v>oz</v>
      </c>
      <c r="M81" s="1214">
        <f>Materials!B35</f>
        <v>20</v>
      </c>
      <c r="N81" s="1216">
        <f>K81*M81</f>
        <v>70</v>
      </c>
      <c r="O81" s="1381"/>
      <c r="P81" s="1443"/>
      <c r="Q81" s="1216"/>
      <c r="R81" s="1440">
        <f t="shared" si="3"/>
        <v>70</v>
      </c>
      <c r="S81" s="1188"/>
    </row>
    <row r="82" spans="1:19">
      <c r="A82" s="1218"/>
      <c r="B82" s="1219"/>
      <c r="C82" s="1664" t="s">
        <v>318</v>
      </c>
      <c r="D82" s="1665"/>
      <c r="E82" s="1665"/>
      <c r="F82" s="816"/>
      <c r="G82" s="814" t="s">
        <v>235</v>
      </c>
      <c r="H82" s="1272">
        <v>0.41699999999999998</v>
      </c>
      <c r="I82" s="1441">
        <f>Machinery!U5+Machinery!U8</f>
        <v>17.657110248000002</v>
      </c>
      <c r="J82" s="1325">
        <f>H82*I82</f>
        <v>7.3630149734160009</v>
      </c>
      <c r="K82" s="1442"/>
      <c r="L82" s="1213"/>
      <c r="M82" s="1214"/>
      <c r="N82" s="1216"/>
      <c r="O82" s="1381">
        <f>H82*1.2</f>
        <v>0.50039999999999996</v>
      </c>
      <c r="P82" s="1443">
        <f>Labor!I107</f>
        <v>8.4749230769230781</v>
      </c>
      <c r="Q82" s="1216">
        <f>$O82*$P82</f>
        <v>4.2408515076923079</v>
      </c>
      <c r="R82" s="1440">
        <f t="shared" si="3"/>
        <v>11.603866481108309</v>
      </c>
      <c r="S82" s="1188"/>
    </row>
    <row r="83" spans="1:19">
      <c r="A83" s="1218"/>
      <c r="B83" s="1219"/>
      <c r="C83" s="816"/>
      <c r="D83" s="816" t="s">
        <v>137</v>
      </c>
      <c r="E83" s="816"/>
      <c r="F83" s="816"/>
      <c r="G83" s="814"/>
      <c r="H83" s="1209"/>
      <c r="I83" s="1441"/>
      <c r="J83" s="1325"/>
      <c r="K83" s="1442">
        <f>Materials!D38</f>
        <v>6</v>
      </c>
      <c r="L83" s="1472" t="str">
        <f>Materials!C38</f>
        <v>oz</v>
      </c>
      <c r="M83" s="1214">
        <f>Materials!B38</f>
        <v>2.5</v>
      </c>
      <c r="N83" s="1216">
        <f>K83*M83</f>
        <v>15</v>
      </c>
      <c r="O83" s="1381"/>
      <c r="P83" s="1443"/>
      <c r="Q83" s="1216"/>
      <c r="R83" s="1440">
        <f t="shared" si="3"/>
        <v>15</v>
      </c>
      <c r="S83" s="1188"/>
    </row>
    <row r="84" spans="1:19">
      <c r="A84" s="1475"/>
      <c r="B84" s="1219"/>
      <c r="C84" s="816"/>
      <c r="D84" s="816" t="s">
        <v>299</v>
      </c>
      <c r="E84" s="816"/>
      <c r="F84" s="816"/>
      <c r="G84" s="814"/>
      <c r="H84" s="1209"/>
      <c r="I84" s="1441"/>
      <c r="J84" s="1325"/>
      <c r="K84" s="1442">
        <f>Materials!D25</f>
        <v>13.98</v>
      </c>
      <c r="L84" s="1472" t="str">
        <f>Materials!C25</f>
        <v>lbs</v>
      </c>
      <c r="M84" s="1214">
        <f>Materials!B25</f>
        <v>2</v>
      </c>
      <c r="N84" s="1216">
        <f>K84*M84</f>
        <v>27.96</v>
      </c>
      <c r="O84" s="1381"/>
      <c r="P84" s="1443"/>
      <c r="Q84" s="1216"/>
      <c r="R84" s="1440">
        <f t="shared" si="3"/>
        <v>27.96</v>
      </c>
      <c r="S84" s="1188"/>
    </row>
    <row r="85" spans="1:19">
      <c r="A85" s="1475"/>
      <c r="B85" s="1219">
        <v>337</v>
      </c>
      <c r="C85" s="816" t="s">
        <v>106</v>
      </c>
      <c r="D85" s="816"/>
      <c r="E85" s="816"/>
      <c r="F85" s="816"/>
      <c r="G85" s="814" t="s">
        <v>92</v>
      </c>
      <c r="H85" s="1272">
        <v>24</v>
      </c>
      <c r="I85" s="1462">
        <f>I70</f>
        <v>16.263367866666666</v>
      </c>
      <c r="J85" s="1240">
        <f>H85*I85</f>
        <v>390.32082879999996</v>
      </c>
      <c r="K85" s="1442"/>
      <c r="L85" s="1213"/>
      <c r="M85" s="1214"/>
      <c r="N85" s="1216"/>
      <c r="O85" s="1381">
        <f>(H85/3)*0.5</f>
        <v>4</v>
      </c>
      <c r="P85" s="1443">
        <f>Labor!I107</f>
        <v>8.4749230769230781</v>
      </c>
      <c r="Q85" s="1465">
        <f>O85*P85</f>
        <v>33.899692307692312</v>
      </c>
      <c r="R85" s="1440">
        <f t="shared" si="3"/>
        <v>424.22052110769226</v>
      </c>
      <c r="S85" s="1188"/>
    </row>
    <row r="86" spans="1:19">
      <c r="A86" s="1475"/>
      <c r="B86" s="1219"/>
      <c r="C86" s="816" t="s">
        <v>650</v>
      </c>
      <c r="D86" s="816"/>
      <c r="E86" s="816"/>
      <c r="F86" s="816"/>
      <c r="G86" s="814"/>
      <c r="H86" s="1209"/>
      <c r="I86" s="1462"/>
      <c r="J86" s="1240"/>
      <c r="K86" s="1442">
        <f>Materials!E86</f>
        <v>195.5</v>
      </c>
      <c r="L86" s="1213" t="s">
        <v>162</v>
      </c>
      <c r="M86" s="1214">
        <v>1</v>
      </c>
      <c r="N86" s="1216">
        <f>K86*M86</f>
        <v>195.5</v>
      </c>
      <c r="O86" s="1381"/>
      <c r="P86" s="1443"/>
      <c r="Q86" s="1465"/>
      <c r="R86" s="1440">
        <f t="shared" si="3"/>
        <v>195.5</v>
      </c>
      <c r="S86" s="1188"/>
    </row>
    <row r="87" spans="1:19">
      <c r="A87" s="1475"/>
      <c r="B87" s="1219">
        <v>352</v>
      </c>
      <c r="C87" s="816" t="s">
        <v>345</v>
      </c>
      <c r="D87" s="816"/>
      <c r="E87" s="816"/>
      <c r="F87" s="816"/>
      <c r="G87" s="814" t="s">
        <v>400</v>
      </c>
      <c r="H87" s="1209"/>
      <c r="I87" s="1441"/>
      <c r="J87" s="1240"/>
      <c r="K87" s="1442"/>
      <c r="L87" s="1213" t="s">
        <v>405</v>
      </c>
      <c r="M87" s="1450">
        <f>M12/3</f>
        <v>733.33333333333337</v>
      </c>
      <c r="N87" s="1216"/>
      <c r="O87" s="1446"/>
      <c r="P87" s="1462">
        <f>Materials!D94</f>
        <v>3.5</v>
      </c>
      <c r="Q87" s="1216">
        <f>M87*P87</f>
        <v>2566.666666666667</v>
      </c>
      <c r="R87" s="1440">
        <f t="shared" si="3"/>
        <v>2566.666666666667</v>
      </c>
      <c r="S87" s="1188"/>
    </row>
    <row r="88" spans="1:19">
      <c r="A88" s="1475"/>
      <c r="B88" s="1219"/>
      <c r="C88" s="816"/>
      <c r="D88" s="816"/>
      <c r="E88" s="816"/>
      <c r="F88" s="816"/>
      <c r="G88" s="814" t="s">
        <v>404</v>
      </c>
      <c r="H88" s="1209"/>
      <c r="I88" s="1441"/>
      <c r="J88" s="1240"/>
      <c r="K88" s="1442"/>
      <c r="L88" s="1213" t="s">
        <v>405</v>
      </c>
      <c r="M88" s="1450">
        <f>M12/3</f>
        <v>733.33333333333337</v>
      </c>
      <c r="N88" s="1216"/>
      <c r="O88" s="1446"/>
      <c r="P88" s="1462">
        <f>Materials!D97</f>
        <v>0.5</v>
      </c>
      <c r="Q88" s="1216">
        <f>M88*P88</f>
        <v>366.66666666666669</v>
      </c>
      <c r="R88" s="1440">
        <f t="shared" si="3"/>
        <v>366.66666666666669</v>
      </c>
      <c r="S88" s="1188"/>
    </row>
    <row r="89" spans="1:19">
      <c r="A89" s="1475"/>
      <c r="B89" s="1219"/>
      <c r="C89" s="816"/>
      <c r="D89" s="816"/>
      <c r="E89" s="816"/>
      <c r="F89" s="816"/>
      <c r="G89" s="814" t="s">
        <v>350</v>
      </c>
      <c r="H89" s="1209">
        <f>143/10</f>
        <v>14.3</v>
      </c>
      <c r="I89" s="1441">
        <f>Machinery!U20</f>
        <v>2.0387642166547622</v>
      </c>
      <c r="J89" s="1325">
        <f>H89*I89</f>
        <v>29.154328298163101</v>
      </c>
      <c r="K89" s="1442"/>
      <c r="L89" s="1213" t="s">
        <v>7</v>
      </c>
      <c r="M89" s="1450" t="s">
        <v>7</v>
      </c>
      <c r="N89" s="1216"/>
      <c r="O89" s="1381">
        <f>H89*1.2</f>
        <v>17.16</v>
      </c>
      <c r="P89" s="1443">
        <f>+Materials!B73</f>
        <v>7</v>
      </c>
      <c r="Q89" s="1216">
        <f>O89*P89</f>
        <v>120.12</v>
      </c>
      <c r="R89" s="1440">
        <f t="shared" si="3"/>
        <v>149.27432829816311</v>
      </c>
      <c r="S89" s="1188"/>
    </row>
    <row r="90" spans="1:19">
      <c r="A90" s="1475"/>
      <c r="B90" s="1219"/>
      <c r="C90" s="816"/>
      <c r="D90" s="816"/>
      <c r="E90" s="816"/>
      <c r="F90" s="816"/>
      <c r="G90" s="814" t="s">
        <v>403</v>
      </c>
      <c r="H90" s="1209"/>
      <c r="I90" s="1441"/>
      <c r="J90" s="1240"/>
      <c r="K90" s="1442"/>
      <c r="L90" s="1213" t="s">
        <v>406</v>
      </c>
      <c r="M90" s="1450">
        <f>M12/3</f>
        <v>733.33333333333337</v>
      </c>
      <c r="N90" s="1476"/>
      <c r="O90" s="1381" t="s">
        <v>7</v>
      </c>
      <c r="P90" s="1462">
        <f>Materials!D96</f>
        <v>0.25</v>
      </c>
      <c r="Q90" s="1216">
        <f>M90*P90</f>
        <v>183.33333333333334</v>
      </c>
      <c r="R90" s="1440">
        <f t="shared" si="3"/>
        <v>183.33333333333334</v>
      </c>
      <c r="S90" s="1188"/>
    </row>
    <row r="91" spans="1:19">
      <c r="A91" s="1475"/>
      <c r="B91" s="1219"/>
      <c r="C91" s="1666" t="s">
        <v>384</v>
      </c>
      <c r="D91" s="1667"/>
      <c r="E91" s="801"/>
      <c r="F91" s="801"/>
      <c r="G91" s="814" t="s">
        <v>338</v>
      </c>
      <c r="H91" s="1406">
        <v>720</v>
      </c>
      <c r="I91" s="1324">
        <f>Machinery!U14</f>
        <v>4.1369271180555556</v>
      </c>
      <c r="J91" s="1325">
        <f>(H91*I91)/10</f>
        <v>297.85875249999998</v>
      </c>
      <c r="K91" s="1348"/>
      <c r="L91" s="1213"/>
      <c r="M91" s="1349"/>
      <c r="N91" s="1325"/>
      <c r="O91" s="1365"/>
      <c r="P91" s="1220"/>
      <c r="Q91" s="1325"/>
      <c r="R91" s="1440">
        <f t="shared" si="3"/>
        <v>297.85875249999998</v>
      </c>
      <c r="S91" s="1188"/>
    </row>
    <row r="92" spans="1:19">
      <c r="A92" s="1475"/>
      <c r="B92" s="1219"/>
      <c r="C92" s="1666" t="s">
        <v>383</v>
      </c>
      <c r="D92" s="1667"/>
      <c r="E92" s="801"/>
      <c r="F92" s="801"/>
      <c r="G92" s="814" t="s">
        <v>340</v>
      </c>
      <c r="H92" s="1406">
        <v>260</v>
      </c>
      <c r="I92" s="1324">
        <f>Machinery!U16</f>
        <v>2.1839812101910834</v>
      </c>
      <c r="J92" s="1325">
        <f>(H92*I92)/10</f>
        <v>56.783511464968171</v>
      </c>
      <c r="K92" s="1348"/>
      <c r="L92" s="1213" t="s">
        <v>7</v>
      </c>
      <c r="M92" s="1450" t="s">
        <v>7</v>
      </c>
      <c r="N92" s="1325">
        <v>0</v>
      </c>
      <c r="O92" s="1365"/>
      <c r="P92" s="1462" t="s">
        <v>7</v>
      </c>
      <c r="Q92" s="1325">
        <v>0</v>
      </c>
      <c r="R92" s="1440">
        <f t="shared" si="3"/>
        <v>56.783511464968171</v>
      </c>
      <c r="S92" s="1188"/>
    </row>
    <row r="93" spans="1:19">
      <c r="A93" s="1475"/>
      <c r="B93" s="1219"/>
      <c r="C93" s="1666" t="s">
        <v>309</v>
      </c>
      <c r="D93" s="1667"/>
      <c r="E93" s="801"/>
      <c r="F93" s="801"/>
      <c r="G93" s="809" t="s">
        <v>351</v>
      </c>
      <c r="H93" s="1406">
        <v>400</v>
      </c>
      <c r="I93" s="1324">
        <f>Machinery!U24</f>
        <v>0.57239501999999998</v>
      </c>
      <c r="J93" s="1325">
        <f>((H93*I93)+(Machinery!U21*32))/10</f>
        <v>28.446334133333334</v>
      </c>
      <c r="K93" s="1348"/>
      <c r="L93" s="1213"/>
      <c r="M93" s="1349"/>
      <c r="N93" s="1325"/>
      <c r="O93" s="1365">
        <f>(H93/100)*4</f>
        <v>16</v>
      </c>
      <c r="P93" s="1443">
        <f>Labor!I107</f>
        <v>8.4749230769230781</v>
      </c>
      <c r="Q93" s="1325">
        <f>(O93*P93)/10</f>
        <v>13.559876923076924</v>
      </c>
      <c r="R93" s="1440">
        <f t="shared" si="3"/>
        <v>42.006211056410258</v>
      </c>
      <c r="S93" s="1188"/>
    </row>
    <row r="94" spans="1:19" ht="13.5" thickBot="1">
      <c r="A94" s="1468"/>
      <c r="B94" s="1219">
        <v>309</v>
      </c>
      <c r="C94" s="816" t="s">
        <v>100</v>
      </c>
      <c r="D94" s="816"/>
      <c r="E94" s="816"/>
      <c r="F94" s="816"/>
      <c r="G94" s="814" t="s">
        <v>233</v>
      </c>
      <c r="H94" s="1406">
        <v>0.5</v>
      </c>
      <c r="I94" s="1324">
        <f>Machinery!U5+Machinery!U9</f>
        <v>14.78363566577778</v>
      </c>
      <c r="J94" s="1325">
        <f>H94*I94</f>
        <v>7.3918178328888899</v>
      </c>
      <c r="K94" s="1357"/>
      <c r="L94" s="1213"/>
      <c r="M94" s="1354"/>
      <c r="N94" s="1325"/>
      <c r="O94" s="1381">
        <f>H94*1.2</f>
        <v>0.6</v>
      </c>
      <c r="P94" s="1443">
        <f>Labor!I107</f>
        <v>8.4749230769230781</v>
      </c>
      <c r="Q94" s="1355">
        <f>O94*8.25</f>
        <v>4.95</v>
      </c>
      <c r="R94" s="1440">
        <f t="shared" si="3"/>
        <v>12.341817832888889</v>
      </c>
      <c r="S94" s="1188"/>
    </row>
    <row r="95" spans="1:19" ht="13.5" thickBot="1">
      <c r="A95" s="1189" t="s">
        <v>107</v>
      </c>
      <c r="B95" s="1190"/>
      <c r="C95" s="1110"/>
      <c r="D95" s="1110"/>
      <c r="E95" s="1110"/>
      <c r="F95" s="1110"/>
      <c r="G95" s="1369"/>
      <c r="H95" s="1191">
        <f>SUM(H$74:H$94)</f>
        <v>1420.5509999999999</v>
      </c>
      <c r="I95" s="1198"/>
      <c r="J95" s="1474">
        <f>SUM(J$74:J$94)</f>
        <v>839.43643578249043</v>
      </c>
      <c r="K95" s="1454"/>
      <c r="L95" s="1337"/>
      <c r="M95" s="1229"/>
      <c r="N95" s="1197">
        <f>SUM(N$74:N$94)</f>
        <v>524.46</v>
      </c>
      <c r="O95" s="1455">
        <f>SUM(O$74:O$94)</f>
        <v>40.361200000000004</v>
      </c>
      <c r="P95" s="1466"/>
      <c r="Q95" s="1197">
        <f>SUM(Q$74:Q$94)</f>
        <v>3311.1062519589746</v>
      </c>
      <c r="R95" s="1198">
        <f>SUM(R$74:R$94)</f>
        <v>4675.0026877414657</v>
      </c>
      <c r="S95" s="1199">
        <f>J95+N95+Q95</f>
        <v>4675.0026877414648</v>
      </c>
    </row>
    <row r="96" spans="1:19" ht="13.5" thickBot="1">
      <c r="A96" s="1168" t="s">
        <v>108</v>
      </c>
      <c r="B96" s="1467"/>
      <c r="C96" s="1431"/>
      <c r="D96" s="1431"/>
      <c r="E96" s="1431"/>
      <c r="F96" s="1431"/>
      <c r="G96" s="1372"/>
      <c r="H96" s="1226"/>
      <c r="I96" s="1228"/>
      <c r="J96" s="1456"/>
      <c r="K96" s="1266"/>
      <c r="L96" s="1204"/>
      <c r="M96" s="1205"/>
      <c r="N96" s="1227"/>
      <c r="O96" s="1457"/>
      <c r="P96" s="1458"/>
      <c r="Q96" s="1227"/>
      <c r="R96" s="1228"/>
      <c r="S96" s="1208" t="s">
        <v>108</v>
      </c>
    </row>
    <row r="97" spans="1:19">
      <c r="A97" s="1176"/>
      <c r="B97" s="1177">
        <v>301</v>
      </c>
      <c r="C97" s="1477" t="s">
        <v>24</v>
      </c>
      <c r="D97" s="1477"/>
      <c r="E97" s="1477"/>
      <c r="F97" s="1477"/>
      <c r="G97" s="1478" t="s">
        <v>25</v>
      </c>
      <c r="H97" s="1179"/>
      <c r="I97" s="1434"/>
      <c r="J97" s="1435"/>
      <c r="K97" s="1357">
        <f>Materials!F71</f>
        <v>6</v>
      </c>
      <c r="L97" s="1327" t="s">
        <v>300</v>
      </c>
      <c r="M97" s="1437">
        <v>1</v>
      </c>
      <c r="N97" s="1438">
        <f>+M97*K97</f>
        <v>6</v>
      </c>
      <c r="O97" s="1479"/>
      <c r="P97" s="1439"/>
      <c r="Q97" s="1438"/>
      <c r="R97" s="1480">
        <f>$Q97+$N97+$J97</f>
        <v>6</v>
      </c>
      <c r="S97" s="1481"/>
    </row>
    <row r="98" spans="1:19">
      <c r="A98" s="1475"/>
      <c r="B98" s="1219">
        <v>337</v>
      </c>
      <c r="C98" s="816" t="s">
        <v>106</v>
      </c>
      <c r="D98" s="816"/>
      <c r="E98" s="816"/>
      <c r="F98" s="816"/>
      <c r="G98" s="814" t="s">
        <v>92</v>
      </c>
      <c r="H98" s="1272">
        <v>30</v>
      </c>
      <c r="I98" s="1462">
        <f>I85</f>
        <v>16.263367866666666</v>
      </c>
      <c r="J98" s="1240">
        <f>$H98*$I98</f>
        <v>487.90103599999998</v>
      </c>
      <c r="K98" s="1442"/>
      <c r="L98" s="1213"/>
      <c r="M98" s="1214"/>
      <c r="N98" s="1216"/>
      <c r="O98" s="1381">
        <f>(H98/3)*0.5</f>
        <v>5</v>
      </c>
      <c r="P98" s="1443">
        <f>Labor!I107</f>
        <v>8.4749230769230781</v>
      </c>
      <c r="Q98" s="1216">
        <f>$P98*$O98</f>
        <v>42.374615384615389</v>
      </c>
      <c r="R98" s="1440">
        <f>$Q98+$N98+$J98</f>
        <v>530.27565138461534</v>
      </c>
      <c r="S98" s="1188"/>
    </row>
    <row r="99" spans="1:19">
      <c r="A99" s="1475"/>
      <c r="B99" s="1219">
        <v>355</v>
      </c>
      <c r="C99" s="816" t="s">
        <v>138</v>
      </c>
      <c r="D99" s="816"/>
      <c r="E99" s="816"/>
      <c r="F99" s="816"/>
      <c r="G99" s="814" t="s">
        <v>102</v>
      </c>
      <c r="H99" s="1209"/>
      <c r="I99" s="1441"/>
      <c r="J99" s="1240"/>
      <c r="K99" s="1442">
        <f>Materials!D72</f>
        <v>5</v>
      </c>
      <c r="L99" s="1213" t="s">
        <v>286</v>
      </c>
      <c r="M99" s="1214">
        <v>1</v>
      </c>
      <c r="N99" s="1216">
        <f>+M99*K99</f>
        <v>5</v>
      </c>
      <c r="O99" s="1381"/>
      <c r="P99" s="1443"/>
      <c r="Q99" s="1216"/>
      <c r="R99" s="1440">
        <f>$Q99+$N99+$J99</f>
        <v>5</v>
      </c>
      <c r="S99" s="1188"/>
    </row>
    <row r="100" spans="1:19">
      <c r="A100" s="1475"/>
      <c r="B100" s="1219">
        <v>356</v>
      </c>
      <c r="C100" s="816" t="s">
        <v>139</v>
      </c>
      <c r="D100" s="816"/>
      <c r="E100" s="816"/>
      <c r="F100" s="816"/>
      <c r="G100" s="814" t="s">
        <v>122</v>
      </c>
      <c r="H100" s="1272">
        <v>8</v>
      </c>
      <c r="I100" s="1441">
        <f>Machinery!U7</f>
        <v>0.34666666666666662</v>
      </c>
      <c r="J100" s="1240">
        <f>H100*I100</f>
        <v>2.773333333333333</v>
      </c>
      <c r="K100" s="1442" t="s">
        <v>7</v>
      </c>
      <c r="L100" s="1213" t="s">
        <v>7</v>
      </c>
      <c r="M100" s="1214" t="s">
        <v>7</v>
      </c>
      <c r="N100" s="1482" t="s">
        <v>7</v>
      </c>
      <c r="O100" s="1381">
        <v>8</v>
      </c>
      <c r="P100" s="1443">
        <f>Labor!I107</f>
        <v>8.4749230769230781</v>
      </c>
      <c r="Q100" s="1216">
        <f>$P100*$O100</f>
        <v>67.799384615384625</v>
      </c>
      <c r="R100" s="1440">
        <f>Q100+J100</f>
        <v>70.572717948717951</v>
      </c>
      <c r="S100" s="1188"/>
    </row>
    <row r="101" spans="1:19">
      <c r="A101" s="1475"/>
      <c r="B101" s="1219">
        <v>309</v>
      </c>
      <c r="C101" s="816" t="s">
        <v>100</v>
      </c>
      <c r="D101" s="816"/>
      <c r="E101" s="816"/>
      <c r="F101" s="816"/>
      <c r="G101" s="814" t="s">
        <v>233</v>
      </c>
      <c r="H101" s="1272">
        <v>0.5</v>
      </c>
      <c r="I101" s="1324">
        <f>Machinery!U5+Machinery!U9</f>
        <v>14.78363566577778</v>
      </c>
      <c r="J101" s="1325">
        <f>H101*I101</f>
        <v>7.3918178328888899</v>
      </c>
      <c r="K101" s="1357"/>
      <c r="L101" s="1213"/>
      <c r="M101" s="1354"/>
      <c r="N101" s="1325"/>
      <c r="O101" s="1381">
        <f>$H101*1.2</f>
        <v>0.6</v>
      </c>
      <c r="P101" s="1443">
        <f>Labor!I107</f>
        <v>8.4749230769230781</v>
      </c>
      <c r="Q101" s="1216">
        <f>$P101*$O101</f>
        <v>5.084953846153847</v>
      </c>
      <c r="R101" s="1440">
        <f>$Q101+$N101+$J101</f>
        <v>12.476771679042738</v>
      </c>
      <c r="S101" s="1188"/>
    </row>
    <row r="102" spans="1:19">
      <c r="A102" s="1218"/>
      <c r="B102" s="1444">
        <v>350</v>
      </c>
      <c r="C102" s="1664" t="s">
        <v>316</v>
      </c>
      <c r="D102" s="1665"/>
      <c r="E102" s="816"/>
      <c r="F102" s="816"/>
      <c r="G102" s="814" t="s">
        <v>235</v>
      </c>
      <c r="H102" s="1209">
        <v>0.41699999999999998</v>
      </c>
      <c r="I102" s="1441">
        <f>Machinery!U5+Machinery!U8</f>
        <v>17.657110248000002</v>
      </c>
      <c r="J102" s="1325">
        <f>H102*I102</f>
        <v>7.3630149734160009</v>
      </c>
      <c r="K102" s="1442"/>
      <c r="L102" s="1213"/>
      <c r="M102" s="1214"/>
      <c r="N102" s="1216"/>
      <c r="O102" s="1381">
        <f>H102*1.2</f>
        <v>0.50039999999999996</v>
      </c>
      <c r="P102" s="1443">
        <f>Labor!I107</f>
        <v>8.4749230769230781</v>
      </c>
      <c r="Q102" s="1216">
        <f>$O102*$P102</f>
        <v>4.2408515076923079</v>
      </c>
      <c r="R102" s="1440">
        <f t="shared" ref="R102:R107" si="4">$Q102+$N102+$J102</f>
        <v>11.603866481108309</v>
      </c>
      <c r="S102" s="1188"/>
    </row>
    <row r="103" spans="1:19">
      <c r="A103" s="1218"/>
      <c r="B103" s="1483"/>
      <c r="C103" s="809"/>
      <c r="D103" s="809" t="s">
        <v>292</v>
      </c>
      <c r="E103" s="816"/>
      <c r="F103" s="816"/>
      <c r="G103" s="814"/>
      <c r="H103" s="1209"/>
      <c r="I103" s="1441"/>
      <c r="J103" s="1325"/>
      <c r="K103" s="1442">
        <f>Materials!D37</f>
        <v>10</v>
      </c>
      <c r="L103" s="1472" t="str">
        <f>Materials!C37</f>
        <v>lbs</v>
      </c>
      <c r="M103" s="1214">
        <f>Materials!B37</f>
        <v>2</v>
      </c>
      <c r="N103" s="1216">
        <f>K103*M103</f>
        <v>20</v>
      </c>
      <c r="O103" s="1381"/>
      <c r="P103" s="1443"/>
      <c r="Q103" s="1216"/>
      <c r="R103" s="1440">
        <f t="shared" si="4"/>
        <v>20</v>
      </c>
      <c r="S103" s="1188"/>
    </row>
    <row r="104" spans="1:19">
      <c r="A104" s="1218"/>
      <c r="B104" s="1483"/>
      <c r="C104" s="1664" t="s">
        <v>316</v>
      </c>
      <c r="D104" s="1665"/>
      <c r="E104" s="816"/>
      <c r="F104" s="816"/>
      <c r="G104" s="814" t="s">
        <v>235</v>
      </c>
      <c r="H104" s="1272">
        <v>0.41699999999999998</v>
      </c>
      <c r="I104" s="1441">
        <f>Machinery!U5+Machinery!U8</f>
        <v>17.657110248000002</v>
      </c>
      <c r="J104" s="1325">
        <f>H104*I104</f>
        <v>7.3630149734160009</v>
      </c>
      <c r="K104" s="1442"/>
      <c r="L104" s="1213"/>
      <c r="M104" s="1214"/>
      <c r="N104" s="1216"/>
      <c r="O104" s="1381">
        <f>H104*1.2</f>
        <v>0.50039999999999996</v>
      </c>
      <c r="P104" s="1443">
        <f>Labor!I107</f>
        <v>8.4749230769230781</v>
      </c>
      <c r="Q104" s="1216">
        <f>$O104*$P104</f>
        <v>4.2408515076923079</v>
      </c>
      <c r="R104" s="1440">
        <f t="shared" si="4"/>
        <v>11.603866481108309</v>
      </c>
      <c r="S104" s="1188"/>
    </row>
    <row r="105" spans="1:19">
      <c r="A105" s="1218"/>
      <c r="B105" s="1483"/>
      <c r="C105" s="809"/>
      <c r="D105" s="809" t="s">
        <v>294</v>
      </c>
      <c r="E105" s="816"/>
      <c r="F105" s="816"/>
      <c r="G105" s="814"/>
      <c r="H105" s="1209"/>
      <c r="I105" s="1441"/>
      <c r="J105" s="1325"/>
      <c r="K105" s="1442">
        <f>Materials!D35</f>
        <v>3.5</v>
      </c>
      <c r="L105" s="1472" t="str">
        <f>Materials!C35</f>
        <v>oz</v>
      </c>
      <c r="M105" s="1214">
        <f>Materials!B35</f>
        <v>20</v>
      </c>
      <c r="N105" s="1216">
        <f>K105*M105</f>
        <v>70</v>
      </c>
      <c r="O105" s="1381"/>
      <c r="P105" s="1443"/>
      <c r="Q105" s="1216"/>
      <c r="R105" s="1440">
        <f t="shared" si="4"/>
        <v>70</v>
      </c>
      <c r="S105" s="1188"/>
    </row>
    <row r="106" spans="1:19">
      <c r="A106" s="1218"/>
      <c r="B106" s="1483"/>
      <c r="C106" s="1664" t="s">
        <v>315</v>
      </c>
      <c r="D106" s="1665"/>
      <c r="E106" s="816"/>
      <c r="F106" s="816"/>
      <c r="G106" s="814" t="s">
        <v>235</v>
      </c>
      <c r="H106" s="1272">
        <v>0.41699999999999998</v>
      </c>
      <c r="I106" s="1441">
        <f>Machinery!U5+Machinery!U8</f>
        <v>17.657110248000002</v>
      </c>
      <c r="J106" s="1325">
        <f>H106*I106</f>
        <v>7.3630149734160009</v>
      </c>
      <c r="K106" s="1442"/>
      <c r="L106" s="1213"/>
      <c r="M106" s="1214"/>
      <c r="N106" s="1216"/>
      <c r="O106" s="1381">
        <f>H106*1.2</f>
        <v>0.50039999999999996</v>
      </c>
      <c r="P106" s="1443">
        <f>Labor!I107</f>
        <v>8.4749230769230781</v>
      </c>
      <c r="Q106" s="1216">
        <f>$O106*$P106</f>
        <v>4.2408515076923079</v>
      </c>
      <c r="R106" s="1440">
        <f t="shared" si="4"/>
        <v>11.603866481108309</v>
      </c>
      <c r="S106" s="1188"/>
    </row>
    <row r="107" spans="1:19">
      <c r="A107" s="1218"/>
      <c r="B107" s="1483"/>
      <c r="C107" s="809"/>
      <c r="D107" s="809" t="s">
        <v>295</v>
      </c>
      <c r="E107" s="816"/>
      <c r="F107" s="816"/>
      <c r="G107" s="814"/>
      <c r="H107" s="1209"/>
      <c r="I107" s="1441"/>
      <c r="J107" s="1325"/>
      <c r="K107" s="1442">
        <f>Materials!D26</f>
        <v>0.51930810916211012</v>
      </c>
      <c r="L107" s="1472" t="str">
        <f>Materials!C26</f>
        <v>oz</v>
      </c>
      <c r="M107" s="1214">
        <f>Materials!B26</f>
        <v>6</v>
      </c>
      <c r="N107" s="1216">
        <f>K107*M107</f>
        <v>3.1158486549726607</v>
      </c>
      <c r="O107" s="1381"/>
      <c r="P107" s="1443"/>
      <c r="Q107" s="1216"/>
      <c r="R107" s="1440">
        <f t="shared" si="4"/>
        <v>3.1158486549726607</v>
      </c>
      <c r="S107" s="1188"/>
    </row>
    <row r="108" spans="1:19">
      <c r="A108" s="1218"/>
      <c r="B108" s="1219">
        <v>347</v>
      </c>
      <c r="C108" s="816" t="s">
        <v>135</v>
      </c>
      <c r="D108" s="816"/>
      <c r="E108" s="816"/>
      <c r="F108" s="816"/>
      <c r="G108" s="814"/>
      <c r="H108" s="1209"/>
      <c r="I108" s="1441"/>
      <c r="J108" s="1240"/>
      <c r="K108" s="1442"/>
      <c r="L108" s="1213"/>
      <c r="M108" s="1214"/>
      <c r="N108" s="1216"/>
      <c r="O108" s="1511">
        <v>0.45</v>
      </c>
      <c r="P108" s="1443">
        <f>Labor!I107</f>
        <v>8.4749230769230781</v>
      </c>
      <c r="Q108" s="1216">
        <f>O108*P108</f>
        <v>3.8137153846153851</v>
      </c>
      <c r="R108" s="1440">
        <f>Q108</f>
        <v>3.8137153846153851</v>
      </c>
      <c r="S108" s="1221"/>
    </row>
    <row r="109" spans="1:19">
      <c r="A109" s="1218"/>
      <c r="B109" s="1484"/>
      <c r="C109" s="1485" t="s">
        <v>345</v>
      </c>
      <c r="D109" s="816"/>
      <c r="E109" s="816"/>
      <c r="F109" s="816"/>
      <c r="G109" s="814" t="s">
        <v>407</v>
      </c>
      <c r="H109" s="1209"/>
      <c r="I109" s="1441"/>
      <c r="J109" s="1240"/>
      <c r="K109" s="1442"/>
      <c r="L109" s="1213" t="s">
        <v>405</v>
      </c>
      <c r="M109" s="1450">
        <f>M12/3</f>
        <v>733.33333333333337</v>
      </c>
      <c r="N109" s="1216"/>
      <c r="O109" s="1446"/>
      <c r="P109" s="1486">
        <f>Materials!D94</f>
        <v>3.5</v>
      </c>
      <c r="Q109" s="1216">
        <f>(M109*P109)</f>
        <v>2566.666666666667</v>
      </c>
      <c r="R109" s="1440">
        <f t="shared" ref="R109:R116" si="5">$Q109+$N109+$J109</f>
        <v>2566.666666666667</v>
      </c>
      <c r="S109" s="1188"/>
    </row>
    <row r="110" spans="1:19">
      <c r="A110" s="1218"/>
      <c r="B110" s="1484"/>
      <c r="C110" s="1485"/>
      <c r="D110" s="816"/>
      <c r="E110" s="816"/>
      <c r="F110" s="816"/>
      <c r="G110" s="814" t="s">
        <v>404</v>
      </c>
      <c r="H110" s="1209"/>
      <c r="I110" s="1441"/>
      <c r="J110" s="1240"/>
      <c r="K110" s="1442"/>
      <c r="L110" s="1213" t="s">
        <v>405</v>
      </c>
      <c r="M110" s="1450">
        <f>M12/3</f>
        <v>733.33333333333337</v>
      </c>
      <c r="N110" s="1216"/>
      <c r="O110" s="1446"/>
      <c r="P110" s="1486">
        <f>Materials!D97</f>
        <v>0.5</v>
      </c>
      <c r="Q110" s="1216">
        <f>(M110*P110)</f>
        <v>366.66666666666669</v>
      </c>
      <c r="R110" s="1440">
        <f t="shared" si="5"/>
        <v>366.66666666666669</v>
      </c>
      <c r="S110" s="1188"/>
    </row>
    <row r="111" spans="1:19">
      <c r="A111" s="1218"/>
      <c r="B111" s="1484"/>
      <c r="C111" s="1485"/>
      <c r="D111" s="816"/>
      <c r="E111" s="816"/>
      <c r="F111" s="816"/>
      <c r="G111" s="814" t="s">
        <v>350</v>
      </c>
      <c r="H111" s="1209">
        <f>143/10</f>
        <v>14.3</v>
      </c>
      <c r="I111" s="1441">
        <f>Machinery!U20</f>
        <v>2.0387642166547622</v>
      </c>
      <c r="J111" s="1325">
        <f>H111*I111</f>
        <v>29.154328298163101</v>
      </c>
      <c r="K111" s="1442"/>
      <c r="L111" s="1213"/>
      <c r="M111" s="1214"/>
      <c r="N111" s="1216"/>
      <c r="O111" s="1381">
        <f>H111*1.2</f>
        <v>17.16</v>
      </c>
      <c r="P111" s="1443">
        <f>Materials!B73</f>
        <v>7</v>
      </c>
      <c r="Q111" s="1216">
        <f>O111*P111</f>
        <v>120.12</v>
      </c>
      <c r="R111" s="1440">
        <f t="shared" si="5"/>
        <v>149.27432829816311</v>
      </c>
      <c r="S111" s="1188"/>
    </row>
    <row r="112" spans="1:19">
      <c r="A112" s="1218"/>
      <c r="B112" s="1484"/>
      <c r="C112" s="1485"/>
      <c r="D112" s="816"/>
      <c r="E112" s="816"/>
      <c r="F112" s="816"/>
      <c r="G112" s="814" t="s">
        <v>408</v>
      </c>
      <c r="H112" s="1209"/>
      <c r="I112" s="1441"/>
      <c r="J112" s="1240"/>
      <c r="K112" s="1442"/>
      <c r="L112" s="1213" t="s">
        <v>405</v>
      </c>
      <c r="M112" s="1450">
        <f>M12/3</f>
        <v>733.33333333333337</v>
      </c>
      <c r="N112" s="1476"/>
      <c r="O112" s="1381" t="s">
        <v>7</v>
      </c>
      <c r="P112" s="1486">
        <f>Materials!D96</f>
        <v>0.25</v>
      </c>
      <c r="Q112" s="1216">
        <f>(M112*P112)</f>
        <v>183.33333333333334</v>
      </c>
      <c r="R112" s="1440">
        <f t="shared" si="5"/>
        <v>183.33333333333334</v>
      </c>
      <c r="S112" s="1188"/>
    </row>
    <row r="113" spans="1:19">
      <c r="A113" s="1218"/>
      <c r="B113" s="1484"/>
      <c r="C113" s="1485"/>
      <c r="D113" s="816"/>
      <c r="E113" s="816"/>
      <c r="F113" s="816"/>
      <c r="G113" s="814" t="s">
        <v>610</v>
      </c>
      <c r="H113" s="1209"/>
      <c r="I113" s="1441"/>
      <c r="J113" s="1240"/>
      <c r="K113" s="1442"/>
      <c r="L113" s="1213"/>
      <c r="M113" s="1450"/>
      <c r="N113" s="1476"/>
      <c r="O113" s="1511">
        <v>20</v>
      </c>
      <c r="P113" s="1486">
        <f>Labor!I107</f>
        <v>8.4749230769230781</v>
      </c>
      <c r="Q113" s="1216">
        <f>(O113*P113)</f>
        <v>169.49846153846156</v>
      </c>
      <c r="R113" s="1440">
        <f t="shared" si="5"/>
        <v>169.49846153846156</v>
      </c>
      <c r="S113" s="1188"/>
    </row>
    <row r="114" spans="1:19">
      <c r="A114" s="1218"/>
      <c r="B114" s="1484"/>
      <c r="C114" s="1666" t="s">
        <v>384</v>
      </c>
      <c r="D114" s="1667"/>
      <c r="E114" s="801"/>
      <c r="F114" s="801"/>
      <c r="G114" s="814" t="s">
        <v>337</v>
      </c>
      <c r="H114" s="1323">
        <f>31*24</f>
        <v>744</v>
      </c>
      <c r="I114" s="1324">
        <f>Machinery!U14</f>
        <v>4.1369271180555556</v>
      </c>
      <c r="J114" s="1325">
        <f>(H114*I114)/10</f>
        <v>307.7873775833333</v>
      </c>
      <c r="K114" s="1348"/>
      <c r="L114" s="1213"/>
      <c r="M114" s="1349"/>
      <c r="N114" s="1325"/>
      <c r="O114" s="1365"/>
      <c r="P114" s="1220"/>
      <c r="Q114" s="1325"/>
      <c r="R114" s="1440">
        <f t="shared" si="5"/>
        <v>307.7873775833333</v>
      </c>
      <c r="S114" s="1188"/>
    </row>
    <row r="115" spans="1:19">
      <c r="A115" s="1218"/>
      <c r="B115" s="1484"/>
      <c r="C115" s="1666" t="s">
        <v>383</v>
      </c>
      <c r="D115" s="1667"/>
      <c r="E115" s="801"/>
      <c r="F115" s="801"/>
      <c r="G115" s="814" t="s">
        <v>339</v>
      </c>
      <c r="H115" s="1406">
        <v>270</v>
      </c>
      <c r="I115" s="1324">
        <f>Machinery!U16</f>
        <v>2.1839812101910834</v>
      </c>
      <c r="J115" s="1325">
        <f>(H115*I115)/10</f>
        <v>58.967492675159249</v>
      </c>
      <c r="K115" s="1348"/>
      <c r="L115" s="1213"/>
      <c r="M115" s="1349"/>
      <c r="N115" s="1325"/>
      <c r="O115" s="1365"/>
      <c r="P115" s="1220"/>
      <c r="Q115" s="1325"/>
      <c r="R115" s="1440">
        <f t="shared" si="5"/>
        <v>58.967492675159249</v>
      </c>
      <c r="S115" s="1188"/>
    </row>
    <row r="116" spans="1:19" ht="13.5" thickBot="1">
      <c r="A116" s="1218"/>
      <c r="B116" s="1484"/>
      <c r="C116" s="1666" t="s">
        <v>309</v>
      </c>
      <c r="D116" s="1667"/>
      <c r="E116" s="801"/>
      <c r="F116" s="801"/>
      <c r="G116" s="809" t="s">
        <v>351</v>
      </c>
      <c r="H116" s="1406">
        <v>400</v>
      </c>
      <c r="I116" s="1324">
        <f>Machinery!U24</f>
        <v>0.57239501999999998</v>
      </c>
      <c r="J116" s="1325">
        <f>((H116*I116)+(Machinery!U21*32))/10</f>
        <v>28.446334133333334</v>
      </c>
      <c r="K116" s="1348"/>
      <c r="L116" s="1213"/>
      <c r="M116" s="1349"/>
      <c r="N116" s="1325"/>
      <c r="O116" s="1365">
        <f>(H116/100)*4</f>
        <v>16</v>
      </c>
      <c r="P116" s="1443">
        <f>Labor!I107</f>
        <v>8.4749230769230781</v>
      </c>
      <c r="Q116" s="1325">
        <f>(O116*P116)/10</f>
        <v>13.559876923076924</v>
      </c>
      <c r="R116" s="1440">
        <f t="shared" si="5"/>
        <v>42.006211056410258</v>
      </c>
      <c r="S116" s="1188"/>
    </row>
    <row r="117" spans="1:19" ht="13.5" thickBot="1">
      <c r="A117" s="1189" t="s">
        <v>109</v>
      </c>
      <c r="B117" s="1190"/>
      <c r="C117" s="1110"/>
      <c r="D117" s="1110"/>
      <c r="E117" s="1110"/>
      <c r="F117" s="1110"/>
      <c r="G117" s="1369"/>
      <c r="H117" s="1191">
        <f>SUM(H$97:H$108)</f>
        <v>39.751000000000005</v>
      </c>
      <c r="I117" s="1198"/>
      <c r="J117" s="1197">
        <f>SUM(J$97:J$116)</f>
        <v>944.51076477645938</v>
      </c>
      <c r="K117" s="1454"/>
      <c r="L117" s="1337"/>
      <c r="M117" s="1229"/>
      <c r="N117" s="1197">
        <f>SUM(N$97:N$116)</f>
        <v>104.11584865497267</v>
      </c>
      <c r="O117" s="1455">
        <f>SUM(O$97:O$116)</f>
        <v>68.711199999999991</v>
      </c>
      <c r="P117" s="1466"/>
      <c r="Q117" s="1197">
        <f>SUM(Q$97:Q$116)</f>
        <v>3551.6402288820514</v>
      </c>
      <c r="R117" s="1195">
        <f>SUM(R$97:R$116)</f>
        <v>4600.2668423134837</v>
      </c>
      <c r="S117" s="1199">
        <f>J117+N117+Q117</f>
        <v>4600.2668423134837</v>
      </c>
    </row>
    <row r="118" spans="1:19" ht="13.5" thickBot="1">
      <c r="A118" s="1168" t="s">
        <v>110</v>
      </c>
      <c r="B118" s="1467"/>
      <c r="C118" s="1431"/>
      <c r="D118" s="1431"/>
      <c r="E118" s="1431"/>
      <c r="F118" s="1431"/>
      <c r="G118" s="1372"/>
      <c r="H118" s="1226"/>
      <c r="I118" s="1228"/>
      <c r="J118" s="1456"/>
      <c r="K118" s="1266"/>
      <c r="L118" s="1204"/>
      <c r="M118" s="1205"/>
      <c r="N118" s="1227"/>
      <c r="O118" s="1457"/>
      <c r="P118" s="1458"/>
      <c r="Q118" s="1227"/>
      <c r="R118" s="1228"/>
      <c r="S118" s="1208" t="s">
        <v>110</v>
      </c>
    </row>
    <row r="119" spans="1:19">
      <c r="A119" s="1176"/>
      <c r="B119" s="1177">
        <v>301</v>
      </c>
      <c r="C119" s="816" t="s">
        <v>24</v>
      </c>
      <c r="D119" s="816"/>
      <c r="E119" s="816"/>
      <c r="F119" s="816"/>
      <c r="G119" s="814" t="s">
        <v>25</v>
      </c>
      <c r="H119" s="1209"/>
      <c r="I119" s="1441"/>
      <c r="J119" s="1240"/>
      <c r="K119" s="1357">
        <f>Materials!F71</f>
        <v>6</v>
      </c>
      <c r="L119" s="1213" t="s">
        <v>300</v>
      </c>
      <c r="M119" s="1214">
        <v>1</v>
      </c>
      <c r="N119" s="1216">
        <f>+M119*K119</f>
        <v>6</v>
      </c>
      <c r="O119" s="1381"/>
      <c r="P119" s="1443"/>
      <c r="Q119" s="1216"/>
      <c r="R119" s="1440">
        <f t="shared" ref="R119:R133" si="6">$Q119+$N119+$J119</f>
        <v>6</v>
      </c>
      <c r="S119" s="1188"/>
    </row>
    <row r="120" spans="1:19">
      <c r="A120" s="1218"/>
      <c r="B120" s="1219">
        <v>309</v>
      </c>
      <c r="C120" s="816" t="s">
        <v>100</v>
      </c>
      <c r="D120" s="816"/>
      <c r="E120" s="816"/>
      <c r="F120" s="816"/>
      <c r="G120" s="814" t="s">
        <v>233</v>
      </c>
      <c r="H120" s="1272">
        <v>0.5</v>
      </c>
      <c r="I120" s="1324">
        <f>Machinery!U5+Machinery!U9</f>
        <v>14.78363566577778</v>
      </c>
      <c r="J120" s="1325">
        <f>H120*I120</f>
        <v>7.3918178328888899</v>
      </c>
      <c r="K120" s="1357"/>
      <c r="L120" s="1213"/>
      <c r="M120" s="1354"/>
      <c r="N120" s="1325"/>
      <c r="O120" s="1381">
        <f>H120*1.2</f>
        <v>0.6</v>
      </c>
      <c r="P120" s="1443">
        <f>Labor!I107</f>
        <v>8.4749230769230781</v>
      </c>
      <c r="Q120" s="1216">
        <f>$P120*$O120</f>
        <v>5.084953846153847</v>
      </c>
      <c r="R120" s="1440">
        <f t="shared" si="6"/>
        <v>12.476771679042738</v>
      </c>
      <c r="S120" s="1188"/>
    </row>
    <row r="121" spans="1:19">
      <c r="A121" s="1218"/>
      <c r="B121" s="1219">
        <v>337</v>
      </c>
      <c r="C121" s="816" t="s">
        <v>106</v>
      </c>
      <c r="D121" s="816"/>
      <c r="E121" s="816"/>
      <c r="F121" s="816"/>
      <c r="G121" s="814" t="s">
        <v>140</v>
      </c>
      <c r="H121" s="1272">
        <v>24</v>
      </c>
      <c r="I121" s="1441">
        <f>I98</f>
        <v>16.263367866666666</v>
      </c>
      <c r="J121" s="1240">
        <f>$H121*$I121</f>
        <v>390.32082879999996</v>
      </c>
      <c r="K121" s="1442"/>
      <c r="L121" s="1213"/>
      <c r="M121" s="1214"/>
      <c r="N121" s="1216"/>
      <c r="O121" s="1381">
        <f>(H121/3)*0.5</f>
        <v>4</v>
      </c>
      <c r="P121" s="1443">
        <f>Labor!I107</f>
        <v>8.4749230769230781</v>
      </c>
      <c r="Q121" s="1216">
        <f>$P121*$O121</f>
        <v>33.899692307692312</v>
      </c>
      <c r="R121" s="1440">
        <f t="shared" si="6"/>
        <v>424.22052110769226</v>
      </c>
      <c r="S121" s="1188"/>
    </row>
    <row r="122" spans="1:19">
      <c r="A122" s="1218"/>
      <c r="B122" s="1484"/>
      <c r="C122" s="1485" t="s">
        <v>345</v>
      </c>
      <c r="D122" s="816"/>
      <c r="E122" s="816"/>
      <c r="F122" s="816"/>
      <c r="G122" s="814" t="s">
        <v>400</v>
      </c>
      <c r="H122" s="1209"/>
      <c r="I122" s="1441"/>
      <c r="J122" s="1240"/>
      <c r="K122" s="1442"/>
      <c r="L122" s="1213" t="s">
        <v>405</v>
      </c>
      <c r="M122" s="1450">
        <f>M12/3</f>
        <v>733.33333333333337</v>
      </c>
      <c r="N122" s="1216"/>
      <c r="O122" s="1446"/>
      <c r="P122" s="1486">
        <f>Materials!D94</f>
        <v>3.5</v>
      </c>
      <c r="Q122" s="1216">
        <f>(M122*P122)</f>
        <v>2566.666666666667</v>
      </c>
      <c r="R122" s="1440">
        <f t="shared" si="6"/>
        <v>2566.666666666667</v>
      </c>
      <c r="S122" s="1188"/>
    </row>
    <row r="123" spans="1:19">
      <c r="A123" s="1218"/>
      <c r="B123" s="1484"/>
      <c r="C123" s="1485"/>
      <c r="D123" s="816"/>
      <c r="E123" s="816"/>
      <c r="F123" s="816"/>
      <c r="G123" s="814" t="s">
        <v>404</v>
      </c>
      <c r="H123" s="1209"/>
      <c r="I123" s="1441"/>
      <c r="J123" s="1240"/>
      <c r="K123" s="1442"/>
      <c r="L123" s="1213" t="s">
        <v>405</v>
      </c>
      <c r="M123" s="1450">
        <f>M12/3</f>
        <v>733.33333333333337</v>
      </c>
      <c r="N123" s="1216"/>
      <c r="O123" s="1446"/>
      <c r="P123" s="1486">
        <f>Materials!D97</f>
        <v>0.5</v>
      </c>
      <c r="Q123" s="1216">
        <f>(M123*P123)</f>
        <v>366.66666666666669</v>
      </c>
      <c r="R123" s="1440">
        <f t="shared" si="6"/>
        <v>366.66666666666669</v>
      </c>
      <c r="S123" s="1188"/>
    </row>
    <row r="124" spans="1:19">
      <c r="A124" s="1218"/>
      <c r="B124" s="1484"/>
      <c r="C124" s="1485"/>
      <c r="D124" s="816"/>
      <c r="E124" s="816"/>
      <c r="F124" s="816"/>
      <c r="G124" s="814" t="s">
        <v>352</v>
      </c>
      <c r="H124" s="1209">
        <f>148.5/10</f>
        <v>14.85</v>
      </c>
      <c r="I124" s="1441">
        <f>Machinery!U20</f>
        <v>2.0387642166547622</v>
      </c>
      <c r="J124" s="1240">
        <f>$H124*$I124</f>
        <v>30.275648617323217</v>
      </c>
      <c r="K124" s="1442"/>
      <c r="L124" s="1213"/>
      <c r="M124" s="1214"/>
      <c r="N124" s="1216"/>
      <c r="O124" s="1381">
        <f>H124</f>
        <v>14.85</v>
      </c>
      <c r="P124" s="1443">
        <f>Materials!B73</f>
        <v>7</v>
      </c>
      <c r="Q124" s="1216">
        <f>O124*P124</f>
        <v>103.95</v>
      </c>
      <c r="R124" s="1440">
        <f t="shared" si="6"/>
        <v>134.22564861732323</v>
      </c>
      <c r="S124" s="1188"/>
    </row>
    <row r="125" spans="1:19">
      <c r="A125" s="1218"/>
      <c r="B125" s="1484"/>
      <c r="C125" s="1485"/>
      <c r="D125" s="816"/>
      <c r="E125" s="816"/>
      <c r="F125" s="816"/>
      <c r="G125" s="814" t="s">
        <v>408</v>
      </c>
      <c r="H125" s="1209"/>
      <c r="I125" s="1441"/>
      <c r="J125" s="1240"/>
      <c r="K125" s="1442"/>
      <c r="L125" s="1213" t="s">
        <v>405</v>
      </c>
      <c r="M125" s="1450">
        <f>M12/3</f>
        <v>733.33333333333337</v>
      </c>
      <c r="N125" s="1476"/>
      <c r="O125" s="1381" t="s">
        <v>7</v>
      </c>
      <c r="P125" s="1486">
        <f>Materials!D96</f>
        <v>0.25</v>
      </c>
      <c r="Q125" s="1216">
        <f>P125*M125</f>
        <v>183.33333333333334</v>
      </c>
      <c r="R125" s="1440">
        <f t="shared" si="6"/>
        <v>183.33333333333334</v>
      </c>
      <c r="S125" s="1188"/>
    </row>
    <row r="126" spans="1:19">
      <c r="A126" s="1218"/>
      <c r="B126" s="1484"/>
      <c r="C126" s="1485"/>
      <c r="D126" s="816"/>
      <c r="E126" s="816"/>
      <c r="F126" s="816"/>
      <c r="G126" s="814" t="s">
        <v>611</v>
      </c>
      <c r="H126" s="1209"/>
      <c r="I126" s="1441"/>
      <c r="J126" s="1240"/>
      <c r="K126" s="1442"/>
      <c r="L126" s="1213"/>
      <c r="M126" s="1450"/>
      <c r="N126" s="1476"/>
      <c r="O126" s="1511">
        <v>20</v>
      </c>
      <c r="P126" s="1486">
        <f>Labor!I107</f>
        <v>8.4749230769230781</v>
      </c>
      <c r="Q126" s="1216">
        <f>P126*O126</f>
        <v>169.49846153846156</v>
      </c>
      <c r="R126" s="1440">
        <f t="shared" si="6"/>
        <v>169.49846153846156</v>
      </c>
      <c r="S126" s="1188"/>
    </row>
    <row r="127" spans="1:19">
      <c r="A127" s="1218"/>
      <c r="B127" s="1484"/>
      <c r="C127" s="1666" t="s">
        <v>384</v>
      </c>
      <c r="D127" s="1667"/>
      <c r="E127" s="801"/>
      <c r="F127" s="801"/>
      <c r="G127" s="814" t="s">
        <v>337</v>
      </c>
      <c r="H127" s="1323">
        <f>31*24</f>
        <v>744</v>
      </c>
      <c r="I127" s="1324">
        <f>Machinery!U14</f>
        <v>4.1369271180555556</v>
      </c>
      <c r="J127" s="1325">
        <f>(H127*I127)/10</f>
        <v>307.7873775833333</v>
      </c>
      <c r="K127" s="1348"/>
      <c r="L127" s="1213"/>
      <c r="M127" s="1349"/>
      <c r="N127" s="1325"/>
      <c r="O127" s="1365"/>
      <c r="P127" s="1220"/>
      <c r="Q127" s="1325"/>
      <c r="R127" s="1440">
        <f t="shared" si="6"/>
        <v>307.7873775833333</v>
      </c>
      <c r="S127" s="1188"/>
    </row>
    <row r="128" spans="1:19">
      <c r="A128" s="1218"/>
      <c r="B128" s="1484"/>
      <c r="C128" s="1666" t="s">
        <v>383</v>
      </c>
      <c r="D128" s="1667"/>
      <c r="E128" s="801"/>
      <c r="F128" s="801"/>
      <c r="G128" s="814" t="s">
        <v>339</v>
      </c>
      <c r="H128" s="1323">
        <v>270</v>
      </c>
      <c r="I128" s="1324">
        <f>Machinery!U16</f>
        <v>2.1839812101910834</v>
      </c>
      <c r="J128" s="1325">
        <f>(H128*I128)/10</f>
        <v>58.967492675159249</v>
      </c>
      <c r="K128" s="1348"/>
      <c r="L128" s="1213"/>
      <c r="M128" s="1349"/>
      <c r="N128" s="1325"/>
      <c r="O128" s="1365"/>
      <c r="P128" s="1220"/>
      <c r="Q128" s="1325"/>
      <c r="R128" s="1440">
        <f t="shared" si="6"/>
        <v>58.967492675159249</v>
      </c>
      <c r="S128" s="1188"/>
    </row>
    <row r="129" spans="1:19">
      <c r="A129" s="1218"/>
      <c r="B129" s="1484"/>
      <c r="C129" s="1666" t="s">
        <v>309</v>
      </c>
      <c r="D129" s="1667"/>
      <c r="E129" s="801"/>
      <c r="F129" s="801"/>
      <c r="G129" s="809" t="s">
        <v>351</v>
      </c>
      <c r="H129" s="1406">
        <v>400</v>
      </c>
      <c r="I129" s="1324">
        <f>Machinery!U24</f>
        <v>0.57239501999999998</v>
      </c>
      <c r="J129" s="1325">
        <f>((H129*I129)+(Machinery!U21*32))/10</f>
        <v>28.446334133333334</v>
      </c>
      <c r="K129" s="1348"/>
      <c r="L129" s="1213"/>
      <c r="M129" s="1349"/>
      <c r="N129" s="1325"/>
      <c r="O129" s="1365">
        <f>(H129/100)*4</f>
        <v>16</v>
      </c>
      <c r="P129" s="1443">
        <f>Labor!I107</f>
        <v>8.4749230769230781</v>
      </c>
      <c r="Q129" s="1325">
        <f>(O129*P129)/10</f>
        <v>13.559876923076924</v>
      </c>
      <c r="R129" s="1440">
        <f t="shared" si="6"/>
        <v>42.006211056410258</v>
      </c>
      <c r="S129" s="1188"/>
    </row>
    <row r="130" spans="1:19">
      <c r="A130" s="1218"/>
      <c r="B130" s="1219">
        <v>339</v>
      </c>
      <c r="C130" s="816" t="s">
        <v>104</v>
      </c>
      <c r="D130" s="816"/>
      <c r="E130" s="816"/>
      <c r="F130" s="816"/>
      <c r="G130" s="814" t="s">
        <v>122</v>
      </c>
      <c r="H130" s="1272">
        <v>2</v>
      </c>
      <c r="I130" s="1441">
        <f>Machinery!U7</f>
        <v>0.34666666666666662</v>
      </c>
      <c r="J130" s="1240">
        <f>H130*I130</f>
        <v>0.69333333333333325</v>
      </c>
      <c r="K130" s="1442"/>
      <c r="L130" s="1213"/>
      <c r="M130" s="1214"/>
      <c r="N130" s="1216"/>
      <c r="O130" s="1511">
        <v>50</v>
      </c>
      <c r="P130" s="1443">
        <f>Labor!I107</f>
        <v>8.4749230769230781</v>
      </c>
      <c r="Q130" s="1216">
        <f>$P130*$O130</f>
        <v>423.7461538461539</v>
      </c>
      <c r="R130" s="1440">
        <f>$Q130+$N130+$J130</f>
        <v>424.43948717948723</v>
      </c>
      <c r="S130" s="1188"/>
    </row>
    <row r="131" spans="1:19">
      <c r="A131" s="1218"/>
      <c r="B131" s="1219"/>
      <c r="C131" s="816" t="s">
        <v>576</v>
      </c>
      <c r="D131" s="816"/>
      <c r="E131" s="816"/>
      <c r="F131" s="816"/>
      <c r="G131" s="814"/>
      <c r="H131" s="1209"/>
      <c r="I131" s="1441"/>
      <c r="J131" s="1240"/>
      <c r="K131" s="1442">
        <f>Materials!D67</f>
        <v>400</v>
      </c>
      <c r="L131" s="1213" t="s">
        <v>575</v>
      </c>
      <c r="M131" s="1214">
        <v>0.25</v>
      </c>
      <c r="N131" s="1216">
        <f>+M131*K131</f>
        <v>100</v>
      </c>
      <c r="O131" s="1381"/>
      <c r="P131" s="1443"/>
      <c r="Q131" s="1216"/>
      <c r="R131" s="1440">
        <f>$Q131+$N131+$J131</f>
        <v>100</v>
      </c>
      <c r="S131" s="1188"/>
    </row>
    <row r="132" spans="1:19">
      <c r="A132" s="1218"/>
      <c r="B132" s="1444">
        <v>339</v>
      </c>
      <c r="C132" s="816" t="s">
        <v>104</v>
      </c>
      <c r="D132" s="816"/>
      <c r="E132" s="816"/>
      <c r="F132" s="816"/>
      <c r="G132" s="809" t="s">
        <v>122</v>
      </c>
      <c r="H132" s="1272">
        <v>2</v>
      </c>
      <c r="I132" s="1441">
        <f>Machinery!U7</f>
        <v>0.34666666666666662</v>
      </c>
      <c r="J132" s="1240">
        <f>H132*I132</f>
        <v>0.69333333333333325</v>
      </c>
      <c r="K132" s="1442"/>
      <c r="L132" s="1213"/>
      <c r="M132" s="917"/>
      <c r="N132" s="1216"/>
      <c r="O132" s="1511">
        <v>50</v>
      </c>
      <c r="P132" s="1443">
        <f>Labor!I107</f>
        <v>8.4749230769230781</v>
      </c>
      <c r="Q132" s="1216">
        <f>O132*P132</f>
        <v>423.7461538461539</v>
      </c>
      <c r="R132" s="1440">
        <f>$Q132+$N132+$J132</f>
        <v>424.43948717948723</v>
      </c>
      <c r="S132" s="1188"/>
    </row>
    <row r="133" spans="1:19" ht="13.5" thickBot="1">
      <c r="A133" s="1218"/>
      <c r="B133" s="1487"/>
      <c r="C133" s="1488" t="s">
        <v>576</v>
      </c>
      <c r="D133" s="816"/>
      <c r="E133" s="816"/>
      <c r="F133" s="816"/>
      <c r="G133" s="814"/>
      <c r="H133" s="1209"/>
      <c r="I133" s="1441"/>
      <c r="J133" s="1240"/>
      <c r="K133" s="1442">
        <f>Materials!D67</f>
        <v>400</v>
      </c>
      <c r="L133" s="1213" t="s">
        <v>575</v>
      </c>
      <c r="M133" s="1214">
        <v>0.25</v>
      </c>
      <c r="N133" s="1216">
        <f>+M133*K133</f>
        <v>100</v>
      </c>
      <c r="O133" s="1381"/>
      <c r="P133" s="1443"/>
      <c r="Q133" s="1216"/>
      <c r="R133" s="1440">
        <f t="shared" si="6"/>
        <v>100</v>
      </c>
      <c r="S133" s="1188"/>
    </row>
    <row r="134" spans="1:19" ht="13.5" thickBot="1">
      <c r="A134" s="1189" t="s">
        <v>111</v>
      </c>
      <c r="B134" s="1190"/>
      <c r="C134" s="1110"/>
      <c r="D134" s="1110"/>
      <c r="E134" s="1110"/>
      <c r="F134" s="1110"/>
      <c r="G134" s="1369"/>
      <c r="H134" s="1191">
        <f>SUM(H$119:H$121)</f>
        <v>24.5</v>
      </c>
      <c r="I134" s="1198"/>
      <c r="J134" s="1197">
        <f>SUM(J$119:J$133)</f>
        <v>824.57616630870473</v>
      </c>
      <c r="K134" s="1454"/>
      <c r="L134" s="1337"/>
      <c r="M134" s="1229"/>
      <c r="N134" s="1197">
        <f>SUM(N$119:N$133)</f>
        <v>206</v>
      </c>
      <c r="O134" s="1455">
        <f>SUM(O$119:O$133)</f>
        <v>155.44999999999999</v>
      </c>
      <c r="P134" s="1466"/>
      <c r="Q134" s="1197">
        <f>SUM(Q$119:Q$133)</f>
        <v>4290.1519589743593</v>
      </c>
      <c r="R134" s="1195">
        <f>SUM(R$119:R$133)</f>
        <v>5320.7281252830653</v>
      </c>
      <c r="S134" s="1199">
        <f>J134+N134+Q134</f>
        <v>5320.7281252830635</v>
      </c>
    </row>
    <row r="135" spans="1:19" ht="13.5" thickBot="1">
      <c r="A135" s="1168" t="s">
        <v>112</v>
      </c>
      <c r="B135" s="1467"/>
      <c r="C135" s="1431"/>
      <c r="D135" s="1431"/>
      <c r="E135" s="1431"/>
      <c r="F135" s="1431"/>
      <c r="G135" s="1372"/>
      <c r="H135" s="1226"/>
      <c r="I135" s="1228"/>
      <c r="J135" s="1456"/>
      <c r="K135" s="1266"/>
      <c r="L135" s="1204"/>
      <c r="M135" s="1205"/>
      <c r="N135" s="1227"/>
      <c r="O135" s="1457"/>
      <c r="P135" s="1458"/>
      <c r="Q135" s="1227"/>
      <c r="R135" s="1228"/>
      <c r="S135" s="1208" t="s">
        <v>112</v>
      </c>
    </row>
    <row r="136" spans="1:19">
      <c r="A136" s="1176"/>
      <c r="B136" s="1177">
        <v>301</v>
      </c>
      <c r="C136" s="816" t="s">
        <v>24</v>
      </c>
      <c r="D136" s="816"/>
      <c r="E136" s="816"/>
      <c r="F136" s="816"/>
      <c r="G136" s="814" t="s">
        <v>25</v>
      </c>
      <c r="H136" s="1209"/>
      <c r="I136" s="1441"/>
      <c r="J136" s="1240"/>
      <c r="K136" s="1357">
        <f>Materials!F71</f>
        <v>6</v>
      </c>
      <c r="L136" s="1213" t="s">
        <v>300</v>
      </c>
      <c r="M136" s="1214">
        <v>1</v>
      </c>
      <c r="N136" s="1216">
        <f>+M136*K136</f>
        <v>6</v>
      </c>
      <c r="O136" s="1381"/>
      <c r="P136" s="1443"/>
      <c r="Q136" s="1216"/>
      <c r="R136" s="1440">
        <f>$Q136+$N136+$J136</f>
        <v>6</v>
      </c>
      <c r="S136" s="1481"/>
    </row>
    <row r="137" spans="1:19">
      <c r="A137" s="1218"/>
      <c r="B137" s="1444">
        <v>339</v>
      </c>
      <c r="C137" s="816" t="s">
        <v>104</v>
      </c>
      <c r="D137" s="816"/>
      <c r="E137" s="816"/>
      <c r="F137" s="816"/>
      <c r="G137" s="809" t="s">
        <v>122</v>
      </c>
      <c r="H137" s="1272">
        <v>2</v>
      </c>
      <c r="I137" s="1441">
        <f>Machinery!U7</f>
        <v>0.34666666666666662</v>
      </c>
      <c r="J137" s="1240">
        <f>H137*I137</f>
        <v>0.69333333333333325</v>
      </c>
      <c r="K137" s="1442"/>
      <c r="L137" s="1213"/>
      <c r="M137" s="917"/>
      <c r="N137" s="1216"/>
      <c r="O137" s="1511">
        <v>50</v>
      </c>
      <c r="P137" s="1443">
        <f>Labor!I107</f>
        <v>8.4749230769230781</v>
      </c>
      <c r="Q137" s="1465">
        <f>O137*P137</f>
        <v>423.7461538461539</v>
      </c>
      <c r="R137" s="1440">
        <f>$Q137+$N137+$J137</f>
        <v>424.43948717948723</v>
      </c>
      <c r="S137" s="1188"/>
    </row>
    <row r="138" spans="1:19">
      <c r="A138" s="1218"/>
      <c r="B138" s="1444"/>
      <c r="C138" s="816" t="s">
        <v>576</v>
      </c>
      <c r="D138" s="816"/>
      <c r="E138" s="816"/>
      <c r="F138" s="816"/>
      <c r="G138" s="814"/>
      <c r="H138" s="1209"/>
      <c r="I138" s="1441"/>
      <c r="J138" s="1240"/>
      <c r="K138" s="1442">
        <f>Materials!D67</f>
        <v>400</v>
      </c>
      <c r="L138" s="1213" t="s">
        <v>575</v>
      </c>
      <c r="M138" s="1214">
        <v>0.25</v>
      </c>
      <c r="N138" s="1216">
        <f>+M138*K138</f>
        <v>100</v>
      </c>
      <c r="O138" s="1381"/>
      <c r="P138" s="1443"/>
      <c r="Q138" s="1216"/>
      <c r="R138" s="1440">
        <f>$Q138+$N138+$J138</f>
        <v>100</v>
      </c>
      <c r="S138" s="1188"/>
    </row>
    <row r="139" spans="1:19">
      <c r="A139" s="1218"/>
      <c r="B139" s="1444">
        <v>339</v>
      </c>
      <c r="C139" s="816" t="s">
        <v>104</v>
      </c>
      <c r="D139" s="816"/>
      <c r="E139" s="816"/>
      <c r="F139" s="816"/>
      <c r="G139" s="814" t="s">
        <v>122</v>
      </c>
      <c r="H139" s="1272">
        <v>2</v>
      </c>
      <c r="I139" s="1441">
        <f>Machinery!U7</f>
        <v>0.34666666666666662</v>
      </c>
      <c r="J139" s="1240">
        <f>H139*I139</f>
        <v>0.69333333333333325</v>
      </c>
      <c r="K139" s="1442"/>
      <c r="L139" s="1213"/>
      <c r="M139" s="917"/>
      <c r="N139" s="1216"/>
      <c r="O139" s="1511">
        <v>50</v>
      </c>
      <c r="P139" s="1443">
        <f>Labor!I107</f>
        <v>8.4749230769230781</v>
      </c>
      <c r="Q139" s="1211">
        <f>O139*P139</f>
        <v>423.7461538461539</v>
      </c>
      <c r="R139" s="1440">
        <f>$Q139+$N139+$J139</f>
        <v>424.43948717948723</v>
      </c>
      <c r="S139" s="1188"/>
    </row>
    <row r="140" spans="1:19" ht="13.5" thickBot="1">
      <c r="A140" s="1218"/>
      <c r="B140" s="1487"/>
      <c r="C140" s="1488" t="s">
        <v>576</v>
      </c>
      <c r="D140" s="816"/>
      <c r="E140" s="816"/>
      <c r="F140" s="816"/>
      <c r="G140" s="814"/>
      <c r="H140" s="1209"/>
      <c r="I140" s="1441"/>
      <c r="J140" s="1240"/>
      <c r="K140" s="1442">
        <f>Materials!D67</f>
        <v>400</v>
      </c>
      <c r="L140" s="1213" t="s">
        <v>575</v>
      </c>
      <c r="M140" s="1214">
        <v>0.25</v>
      </c>
      <c r="N140" s="1216">
        <f>+M140*K140</f>
        <v>100</v>
      </c>
      <c r="O140" s="1381"/>
      <c r="P140" s="1443"/>
      <c r="Q140" s="1216"/>
      <c r="R140" s="1440">
        <f>$Q140+$N140+$J140</f>
        <v>100</v>
      </c>
      <c r="S140" s="1188"/>
    </row>
    <row r="141" spans="1:19" ht="13.5" thickBot="1">
      <c r="A141" s="1189" t="s">
        <v>115</v>
      </c>
      <c r="B141" s="1190"/>
      <c r="C141" s="1110"/>
      <c r="D141" s="1110"/>
      <c r="E141" s="1110"/>
      <c r="F141" s="1110"/>
      <c r="G141" s="1369"/>
      <c r="H141" s="1196">
        <f>SUM(H$136:H$140)</f>
        <v>4</v>
      </c>
      <c r="I141" s="1198"/>
      <c r="J141" s="1197">
        <f>SUM(J$136:J$140)</f>
        <v>1.3866666666666665</v>
      </c>
      <c r="K141" s="1454"/>
      <c r="L141" s="1489"/>
      <c r="M141" s="1198"/>
      <c r="N141" s="1197">
        <f>SUM(N$136:N$140)</f>
        <v>206</v>
      </c>
      <c r="O141" s="1455">
        <f>SUM(O$136:O$140)</f>
        <v>100</v>
      </c>
      <c r="P141" s="1195" t="s">
        <v>7</v>
      </c>
      <c r="Q141" s="1197">
        <f>SUM(Q$136:Q$140)</f>
        <v>847.4923076923078</v>
      </c>
      <c r="R141" s="1195">
        <f>SUM(R$136:R$140)</f>
        <v>1054.8789743589746</v>
      </c>
      <c r="S141" s="1199">
        <f>J141+N141+Q141</f>
        <v>1054.8789743589746</v>
      </c>
    </row>
    <row r="142" spans="1:19" ht="13.5" thickBot="1">
      <c r="A142" s="1168" t="s">
        <v>27</v>
      </c>
      <c r="B142" s="1467"/>
      <c r="C142" s="1431"/>
      <c r="D142" s="1431"/>
      <c r="E142" s="1431"/>
      <c r="F142" s="1431"/>
      <c r="G142" s="1372"/>
      <c r="H142" s="1226"/>
      <c r="I142" s="1228"/>
      <c r="J142" s="1456"/>
      <c r="K142" s="1266"/>
      <c r="L142" s="1204"/>
      <c r="M142" s="1205"/>
      <c r="N142" s="1227"/>
      <c r="O142" s="1457"/>
      <c r="P142" s="1458"/>
      <c r="Q142" s="1227"/>
      <c r="R142" s="1228"/>
      <c r="S142" s="1208" t="s">
        <v>27</v>
      </c>
    </row>
    <row r="143" spans="1:19" ht="13.5" thickBot="1">
      <c r="A143" s="1176"/>
      <c r="B143" s="1177">
        <v>301</v>
      </c>
      <c r="C143" s="816" t="s">
        <v>24</v>
      </c>
      <c r="D143" s="816"/>
      <c r="E143" s="816"/>
      <c r="F143" s="816"/>
      <c r="G143" s="814" t="s">
        <v>25</v>
      </c>
      <c r="H143" s="1209"/>
      <c r="I143" s="1441"/>
      <c r="J143" s="1240"/>
      <c r="K143" s="1357">
        <f>Materials!F71</f>
        <v>6</v>
      </c>
      <c r="L143" s="1213" t="s">
        <v>300</v>
      </c>
      <c r="M143" s="1214">
        <v>1</v>
      </c>
      <c r="N143" s="1216">
        <f>+M143*K143</f>
        <v>6</v>
      </c>
      <c r="O143" s="1381"/>
      <c r="P143" s="1443"/>
      <c r="Q143" s="1216"/>
      <c r="R143" s="1440">
        <f>$Q143+$N143+$J143</f>
        <v>6</v>
      </c>
      <c r="S143" s="1188"/>
    </row>
    <row r="144" spans="1:19" ht="13.5" thickBot="1">
      <c r="A144" s="1189" t="s">
        <v>37</v>
      </c>
      <c r="B144" s="1190"/>
      <c r="C144" s="1110"/>
      <c r="D144" s="1110"/>
      <c r="E144" s="1110"/>
      <c r="F144" s="1110"/>
      <c r="G144" s="1369"/>
      <c r="H144" s="1191">
        <f>SUM(H$143:H$143)</f>
        <v>0</v>
      </c>
      <c r="I144" s="1198"/>
      <c r="J144" s="1197">
        <f>SUM(J$143:J$143)</f>
        <v>0</v>
      </c>
      <c r="K144" s="1454"/>
      <c r="L144" s="1337"/>
      <c r="M144" s="1229"/>
      <c r="N144" s="1197">
        <f>SUM(N$143:N$143)</f>
        <v>6</v>
      </c>
      <c r="O144" s="1455">
        <f>SUM(O$143:O$143)</f>
        <v>0</v>
      </c>
      <c r="P144" s="1466"/>
      <c r="Q144" s="1197">
        <f>SUM(Q$143:Q$143)</f>
        <v>0</v>
      </c>
      <c r="R144" s="1195">
        <f>SUM(R$143:R$143)</f>
        <v>6</v>
      </c>
      <c r="S144" s="1199">
        <f>J144+N144+Q144</f>
        <v>6</v>
      </c>
    </row>
    <row r="145" spans="1:19" ht="13.5" thickBot="1">
      <c r="A145" s="1168" t="s">
        <v>0</v>
      </c>
      <c r="B145" s="1467"/>
      <c r="C145" s="1431"/>
      <c r="D145" s="1431"/>
      <c r="E145" s="1431"/>
      <c r="F145" s="1431"/>
      <c r="G145" s="1372"/>
      <c r="H145" s="1226"/>
      <c r="I145" s="1228"/>
      <c r="J145" s="1456"/>
      <c r="K145" s="1266"/>
      <c r="L145" s="1204"/>
      <c r="M145" s="1205"/>
      <c r="N145" s="1227"/>
      <c r="O145" s="1457"/>
      <c r="P145" s="1458"/>
      <c r="Q145" s="1227"/>
      <c r="R145" s="1228"/>
      <c r="S145" s="1208" t="s">
        <v>0</v>
      </c>
    </row>
    <row r="146" spans="1:19">
      <c r="A146" s="1176"/>
      <c r="B146" s="1177">
        <v>301</v>
      </c>
      <c r="C146" s="816" t="s">
        <v>24</v>
      </c>
      <c r="D146" s="816"/>
      <c r="E146" s="816"/>
      <c r="F146" s="816"/>
      <c r="G146" s="814" t="s">
        <v>25</v>
      </c>
      <c r="H146" s="1209"/>
      <c r="I146" s="1441"/>
      <c r="J146" s="1240"/>
      <c r="K146" s="1357">
        <f>Materials!F71</f>
        <v>6</v>
      </c>
      <c r="L146" s="1213" t="s">
        <v>300</v>
      </c>
      <c r="M146" s="1214">
        <v>1</v>
      </c>
      <c r="N146" s="1216">
        <f>+M146*K146</f>
        <v>6</v>
      </c>
      <c r="O146" s="1381"/>
      <c r="P146" s="1443"/>
      <c r="Q146" s="1216"/>
      <c r="R146" s="1440">
        <f>$Q146+$N146+$J146</f>
        <v>6</v>
      </c>
      <c r="S146" s="1188"/>
    </row>
    <row r="147" spans="1:19">
      <c r="A147" s="1218"/>
      <c r="B147" s="1219"/>
      <c r="C147" s="816" t="s">
        <v>32</v>
      </c>
      <c r="D147" s="816"/>
      <c r="E147" s="816"/>
      <c r="F147" s="816"/>
      <c r="G147" s="814" t="s">
        <v>234</v>
      </c>
      <c r="H147" s="1272">
        <v>0.41699999999999998</v>
      </c>
      <c r="I147" s="1462">
        <f>Machinery!U5+Machinery!U6</f>
        <v>14.084135823</v>
      </c>
      <c r="J147" s="1325">
        <f>H147*I147</f>
        <v>5.873084638191</v>
      </c>
      <c r="K147" s="1357"/>
      <c r="L147" s="1213"/>
      <c r="M147" s="1349"/>
      <c r="N147" s="1325"/>
      <c r="O147" s="1381">
        <f>H147*1.2</f>
        <v>0.50039999999999996</v>
      </c>
      <c r="P147" s="1443">
        <f>Labor!I107</f>
        <v>8.4749230769230781</v>
      </c>
      <c r="Q147" s="1216">
        <f>+$P147*$O147</f>
        <v>4.2408515076923079</v>
      </c>
      <c r="R147" s="1440">
        <f>$Q147+$N147+$J147</f>
        <v>10.113936145883308</v>
      </c>
      <c r="S147" s="1188"/>
    </row>
    <row r="148" spans="1:19">
      <c r="A148" s="1218"/>
      <c r="B148" s="1219"/>
      <c r="C148" s="816"/>
      <c r="D148" s="816" t="s">
        <v>125</v>
      </c>
      <c r="E148" s="816"/>
      <c r="F148" s="816"/>
      <c r="G148" s="814"/>
      <c r="H148" s="1209"/>
      <c r="I148" s="1462"/>
      <c r="J148" s="1325"/>
      <c r="K148" s="1357">
        <f>Materials!D21</f>
        <v>3.52</v>
      </c>
      <c r="L148" s="1472" t="str">
        <f>Materials!C21</f>
        <v>quart</v>
      </c>
      <c r="M148" s="1349">
        <f>Materials!B21</f>
        <v>1</v>
      </c>
      <c r="N148" s="1325">
        <f>K148*M148</f>
        <v>3.52</v>
      </c>
      <c r="O148" s="1381"/>
      <c r="P148" s="1443"/>
      <c r="Q148" s="1216"/>
      <c r="R148" s="1440">
        <f>N148</f>
        <v>3.52</v>
      </c>
      <c r="S148" s="1188"/>
    </row>
    <row r="149" spans="1:19" ht="13.5" thickBot="1">
      <c r="A149" s="1475"/>
      <c r="B149" s="1219">
        <v>357</v>
      </c>
      <c r="C149" s="816" t="s">
        <v>142</v>
      </c>
      <c r="D149" s="816"/>
      <c r="E149" s="816"/>
      <c r="F149" s="816"/>
      <c r="G149" s="814"/>
      <c r="H149" s="1209"/>
      <c r="I149" s="1441"/>
      <c r="J149" s="1240"/>
      <c r="K149" s="1442"/>
      <c r="L149" s="1213"/>
      <c r="M149" s="1214"/>
      <c r="N149" s="1216"/>
      <c r="O149" s="1511">
        <v>20</v>
      </c>
      <c r="P149" s="1443">
        <f>Labor!I107</f>
        <v>8.4749230769230781</v>
      </c>
      <c r="Q149" s="1216">
        <f>O149*P149</f>
        <v>169.49846153846156</v>
      </c>
      <c r="R149" s="1440">
        <f>Q149</f>
        <v>169.49846153846156</v>
      </c>
      <c r="S149" s="1188"/>
    </row>
    <row r="150" spans="1:19" ht="13.5" thickBot="1">
      <c r="A150" s="1189" t="s">
        <v>1</v>
      </c>
      <c r="B150" s="1190"/>
      <c r="C150" s="1110"/>
      <c r="D150" s="1110"/>
      <c r="E150" s="1110"/>
      <c r="F150" s="1110"/>
      <c r="G150" s="1369"/>
      <c r="H150" s="1191">
        <f>SUM(H$146:H$149)</f>
        <v>0.41699999999999998</v>
      </c>
      <c r="I150" s="1198"/>
      <c r="J150" s="1197">
        <f>SUM(J$146:J$149)</f>
        <v>5.873084638191</v>
      </c>
      <c r="K150" s="1454"/>
      <c r="L150" s="1337"/>
      <c r="M150" s="1229"/>
      <c r="N150" s="1490">
        <f>SUM(N$146:N$149)</f>
        <v>9.52</v>
      </c>
      <c r="O150" s="1455">
        <f>SUM(O$146:O$149)</f>
        <v>20.500399999999999</v>
      </c>
      <c r="P150" s="1466"/>
      <c r="Q150" s="1197">
        <f>SUM(Q$146:Q$149)</f>
        <v>173.73931304615385</v>
      </c>
      <c r="R150" s="1195">
        <f>SUM(R$146:R$149)</f>
        <v>189.13239768434485</v>
      </c>
      <c r="S150" s="1199">
        <f>J150+N150+Q150</f>
        <v>189.13239768434485</v>
      </c>
    </row>
    <row r="151" spans="1:19" ht="13.5" thickBot="1">
      <c r="A151" s="1168" t="s">
        <v>3</v>
      </c>
      <c r="B151" s="1467"/>
      <c r="C151" s="1431"/>
      <c r="D151" s="1431"/>
      <c r="E151" s="1431"/>
      <c r="F151" s="1431"/>
      <c r="G151" s="1372"/>
      <c r="H151" s="1226"/>
      <c r="I151" s="1228"/>
      <c r="J151" s="1456"/>
      <c r="K151" s="1266"/>
      <c r="L151" s="1204"/>
      <c r="M151" s="1205"/>
      <c r="N151" s="1227"/>
      <c r="O151" s="1457"/>
      <c r="P151" s="1458"/>
      <c r="Q151" s="1227"/>
      <c r="R151" s="1228"/>
      <c r="S151" s="1208" t="s">
        <v>3</v>
      </c>
    </row>
    <row r="152" spans="1:19">
      <c r="A152" s="1176"/>
      <c r="B152" s="1177">
        <v>301</v>
      </c>
      <c r="C152" s="816" t="s">
        <v>24</v>
      </c>
      <c r="D152" s="816"/>
      <c r="E152" s="816"/>
      <c r="F152" s="816"/>
      <c r="G152" s="814" t="s">
        <v>25</v>
      </c>
      <c r="H152" s="1209"/>
      <c r="I152" s="1441"/>
      <c r="J152" s="1240"/>
      <c r="K152" s="1357">
        <f>Materials!F71</f>
        <v>6</v>
      </c>
      <c r="L152" s="1383" t="s">
        <v>300</v>
      </c>
      <c r="M152" s="1214">
        <v>1</v>
      </c>
      <c r="N152" s="1216">
        <f>+M152*K152</f>
        <v>6</v>
      </c>
      <c r="O152" s="1381"/>
      <c r="P152" s="1443"/>
      <c r="Q152" s="1216"/>
      <c r="R152" s="1217">
        <f>$Q152+$N152+$J152</f>
        <v>6</v>
      </c>
      <c r="S152" s="1188"/>
    </row>
    <row r="153" spans="1:19">
      <c r="A153" s="1218"/>
      <c r="B153" s="1484"/>
      <c r="C153" s="1485" t="s">
        <v>32</v>
      </c>
      <c r="D153" s="816"/>
      <c r="E153" s="816"/>
      <c r="F153" s="816"/>
      <c r="G153" s="814" t="s">
        <v>234</v>
      </c>
      <c r="H153" s="1272">
        <v>0.41699999999999998</v>
      </c>
      <c r="I153" s="1462">
        <f>Machinery!U5+Machinery!U6</f>
        <v>14.084135823</v>
      </c>
      <c r="J153" s="1325">
        <f>H153*I153</f>
        <v>5.873084638191</v>
      </c>
      <c r="K153" s="1357"/>
      <c r="L153" s="1213"/>
      <c r="M153" s="1349"/>
      <c r="N153" s="1325"/>
      <c r="O153" s="1381">
        <f>H153*1.2</f>
        <v>0.50039999999999996</v>
      </c>
      <c r="P153" s="1443">
        <f>Labor!I107</f>
        <v>8.4749230769230781</v>
      </c>
      <c r="Q153" s="1216">
        <f>+$P153*$O153</f>
        <v>4.2408515076923079</v>
      </c>
      <c r="R153" s="1440">
        <f>$Q153+$N153+$J153</f>
        <v>10.113936145883308</v>
      </c>
      <c r="S153" s="1188"/>
    </row>
    <row r="154" spans="1:19">
      <c r="A154" s="1218"/>
      <c r="B154" s="1484"/>
      <c r="C154" s="1485"/>
      <c r="D154" s="816" t="s">
        <v>290</v>
      </c>
      <c r="E154" s="816"/>
      <c r="F154" s="816"/>
      <c r="G154" s="814"/>
      <c r="H154" s="1209"/>
      <c r="I154" s="1462"/>
      <c r="J154" s="1325"/>
      <c r="K154" s="1357">
        <f>Materials!D20</f>
        <v>46</v>
      </c>
      <c r="L154" s="1472" t="str">
        <f>Materials!C20</f>
        <v>quart</v>
      </c>
      <c r="M154" s="1349">
        <f>Materials!B20</f>
        <v>2</v>
      </c>
      <c r="N154" s="1325">
        <f>K154*M154</f>
        <v>92</v>
      </c>
      <c r="O154" s="1381"/>
      <c r="P154" s="1443"/>
      <c r="Q154" s="1216"/>
      <c r="R154" s="1440">
        <f>N154</f>
        <v>92</v>
      </c>
      <c r="S154" s="1188"/>
    </row>
    <row r="155" spans="1:19">
      <c r="A155" s="1218"/>
      <c r="B155" s="1484"/>
      <c r="C155" s="1485" t="s">
        <v>32</v>
      </c>
      <c r="D155" s="816"/>
      <c r="E155" s="816"/>
      <c r="F155" s="816"/>
      <c r="G155" s="814" t="s">
        <v>234</v>
      </c>
      <c r="H155" s="1272">
        <v>0.41699999999999998</v>
      </c>
      <c r="I155" s="1462">
        <f>Machinery!U5+Machinery!U6</f>
        <v>14.084135823</v>
      </c>
      <c r="J155" s="1325">
        <f>H155*I155</f>
        <v>5.873084638191</v>
      </c>
      <c r="K155" s="1357"/>
      <c r="L155" s="1213"/>
      <c r="M155" s="1349"/>
      <c r="N155" s="1325"/>
      <c r="O155" s="1381">
        <f>H155*1.2</f>
        <v>0.50039999999999996</v>
      </c>
      <c r="P155" s="1443">
        <f>Labor!I107</f>
        <v>8.4749230769230781</v>
      </c>
      <c r="Q155" s="1216">
        <f>+$P155*$O155</f>
        <v>4.2408515076923079</v>
      </c>
      <c r="R155" s="1440">
        <f>$Q155+$N155+$J155</f>
        <v>10.113936145883308</v>
      </c>
      <c r="S155" s="1188"/>
    </row>
    <row r="156" spans="1:19" ht="13.5" thickBot="1">
      <c r="A156" s="1218"/>
      <c r="B156" s="1484"/>
      <c r="C156" s="1488"/>
      <c r="D156" s="816" t="s">
        <v>291</v>
      </c>
      <c r="E156" s="816"/>
      <c r="F156" s="816"/>
      <c r="G156" s="814"/>
      <c r="H156" s="1209"/>
      <c r="I156" s="1462"/>
      <c r="J156" s="1325"/>
      <c r="K156" s="1357">
        <f>Materials!D19</f>
        <v>3.5</v>
      </c>
      <c r="L156" s="1472" t="str">
        <f>Materials!C19</f>
        <v>quart</v>
      </c>
      <c r="M156" s="1349">
        <f>Materials!B19</f>
        <v>1.5</v>
      </c>
      <c r="N156" s="1325">
        <f>K156*M156</f>
        <v>5.25</v>
      </c>
      <c r="O156" s="1381"/>
      <c r="P156" s="1443"/>
      <c r="Q156" s="1216"/>
      <c r="R156" s="1440">
        <f>N156</f>
        <v>5.25</v>
      </c>
      <c r="S156" s="1188"/>
    </row>
    <row r="157" spans="1:19" ht="14.25" thickTop="1" thickBot="1">
      <c r="A157" s="1491" t="s">
        <v>4</v>
      </c>
      <c r="B157" s="1492"/>
      <c r="C157" s="1110"/>
      <c r="D157" s="1110"/>
      <c r="E157" s="1110"/>
      <c r="F157" s="1110"/>
      <c r="G157" s="1369"/>
      <c r="H157" s="1196">
        <f>SUM(H$152)</f>
        <v>0</v>
      </c>
      <c r="I157" s="1198"/>
      <c r="J157" s="1197">
        <f>SUM(J$152:J$156)</f>
        <v>11.746169276382</v>
      </c>
      <c r="K157" s="1454"/>
      <c r="L157" s="1386"/>
      <c r="M157" s="1493"/>
      <c r="N157" s="1197">
        <f>SUM(N$152:N$156)</f>
        <v>103.25</v>
      </c>
      <c r="O157" s="1455">
        <f>SUM(O$152:O$156)</f>
        <v>1.0007999999999999</v>
      </c>
      <c r="P157" s="1466"/>
      <c r="Q157" s="1197">
        <f>SUM(Q$152:Q$156)</f>
        <v>8.4817030153846158</v>
      </c>
      <c r="R157" s="1198">
        <f>SUM(R$152:R$156)</f>
        <v>123.47787229176663</v>
      </c>
      <c r="S157" s="1199">
        <f>J157+N157+Q157</f>
        <v>123.47787229176662</v>
      </c>
    </row>
    <row r="158" spans="1:19" ht="13.5" thickBot="1">
      <c r="A158" s="1168" t="s">
        <v>48</v>
      </c>
      <c r="B158" s="1467"/>
      <c r="C158" s="1431"/>
      <c r="D158" s="1431"/>
      <c r="E158" s="1431"/>
      <c r="F158" s="1431"/>
      <c r="G158" s="1372"/>
      <c r="H158" s="1226"/>
      <c r="I158" s="1228"/>
      <c r="J158" s="1456"/>
      <c r="K158" s="1266"/>
      <c r="L158" s="1204"/>
      <c r="M158" s="1205"/>
      <c r="N158" s="1227"/>
      <c r="O158" s="1457"/>
      <c r="P158" s="1458"/>
      <c r="Q158" s="1227"/>
      <c r="R158" s="1228"/>
      <c r="S158" s="1494" t="s">
        <v>44</v>
      </c>
    </row>
    <row r="159" spans="1:19">
      <c r="A159" s="1321"/>
      <c r="B159" s="1219">
        <v>216</v>
      </c>
      <c r="C159" s="789" t="s">
        <v>38</v>
      </c>
      <c r="D159" s="803"/>
      <c r="E159" s="803"/>
      <c r="F159" s="787"/>
      <c r="G159" s="804" t="s">
        <v>39</v>
      </c>
      <c r="H159" s="1323"/>
      <c r="I159" s="1324"/>
      <c r="J159" s="1325"/>
      <c r="K159" s="1348">
        <f>Materials!D100</f>
        <v>16</v>
      </c>
      <c r="L159" s="1213" t="s">
        <v>286</v>
      </c>
      <c r="M159" s="1349">
        <v>1</v>
      </c>
      <c r="N159" s="1325">
        <f t="shared" ref="N159:N164" si="7">$K159*M159</f>
        <v>16</v>
      </c>
      <c r="O159" s="1365"/>
      <c r="P159" s="1220"/>
      <c r="Q159" s="1325"/>
      <c r="R159" s="1495">
        <f t="shared" ref="R159:R164" si="8">$N159+$J159+$Q159</f>
        <v>16</v>
      </c>
      <c r="S159" s="1331"/>
    </row>
    <row r="160" spans="1:19">
      <c r="A160" s="1218"/>
      <c r="B160" s="1219">
        <v>317</v>
      </c>
      <c r="C160" s="816" t="s">
        <v>40</v>
      </c>
      <c r="D160" s="816"/>
      <c r="E160" s="816"/>
      <c r="F160" s="816"/>
      <c r="G160" s="814" t="s">
        <v>41</v>
      </c>
      <c r="H160" s="1209"/>
      <c r="I160" s="1441"/>
      <c r="J160" s="1240"/>
      <c r="K160" s="1348">
        <f>Materials!D101</f>
        <v>10</v>
      </c>
      <c r="L160" s="1213" t="s">
        <v>286</v>
      </c>
      <c r="M160" s="1214">
        <v>1</v>
      </c>
      <c r="N160" s="1325">
        <f t="shared" si="7"/>
        <v>10</v>
      </c>
      <c r="O160" s="1381"/>
      <c r="P160" s="1443"/>
      <c r="Q160" s="1216"/>
      <c r="R160" s="1440">
        <f t="shared" si="8"/>
        <v>10</v>
      </c>
      <c r="S160" s="1188"/>
    </row>
    <row r="161" spans="1:19">
      <c r="A161" s="1218"/>
      <c r="B161" s="1219">
        <v>318</v>
      </c>
      <c r="C161" s="816" t="s">
        <v>42</v>
      </c>
      <c r="D161" s="816"/>
      <c r="E161" s="816"/>
      <c r="F161" s="816"/>
      <c r="G161" s="814" t="s">
        <v>43</v>
      </c>
      <c r="H161" s="1209"/>
      <c r="I161" s="1441"/>
      <c r="J161" s="1240"/>
      <c r="K161" s="1348">
        <f>Materials!D102</f>
        <v>100</v>
      </c>
      <c r="L161" s="1213" t="s">
        <v>286</v>
      </c>
      <c r="M161" s="1214">
        <v>1</v>
      </c>
      <c r="N161" s="1325">
        <f t="shared" si="7"/>
        <v>100</v>
      </c>
      <c r="O161" s="1381"/>
      <c r="P161" s="1443"/>
      <c r="Q161" s="1216"/>
      <c r="R161" s="1440">
        <f t="shared" si="8"/>
        <v>100</v>
      </c>
      <c r="S161" s="1188"/>
    </row>
    <row r="162" spans="1:19">
      <c r="A162" s="1218"/>
      <c r="B162" s="1219">
        <v>319</v>
      </c>
      <c r="C162" s="816" t="s">
        <v>45</v>
      </c>
      <c r="D162" s="816"/>
      <c r="E162" s="816"/>
      <c r="F162" s="816"/>
      <c r="G162" s="814" t="s">
        <v>45</v>
      </c>
      <c r="H162" s="1209"/>
      <c r="I162" s="1441"/>
      <c r="J162" s="1240"/>
      <c r="K162" s="1348">
        <f>Materials!D103</f>
        <v>35</v>
      </c>
      <c r="L162" s="1213" t="s">
        <v>286</v>
      </c>
      <c r="M162" s="1214">
        <v>1</v>
      </c>
      <c r="N162" s="1325">
        <f t="shared" si="7"/>
        <v>35</v>
      </c>
      <c r="O162" s="1381"/>
      <c r="P162" s="1443"/>
      <c r="Q162" s="1216"/>
      <c r="R162" s="1440">
        <f t="shared" si="8"/>
        <v>35</v>
      </c>
      <c r="S162" s="1188"/>
    </row>
    <row r="163" spans="1:19">
      <c r="A163" s="1218"/>
      <c r="B163" s="1219">
        <v>320</v>
      </c>
      <c r="C163" s="816" t="s">
        <v>46</v>
      </c>
      <c r="D163" s="816"/>
      <c r="E163" s="816"/>
      <c r="F163" s="816"/>
      <c r="G163" s="814" t="s">
        <v>47</v>
      </c>
      <c r="H163" s="1209"/>
      <c r="I163" s="1441"/>
      <c r="J163" s="1240"/>
      <c r="K163" s="1348">
        <f>Materials!D104</f>
        <v>25</v>
      </c>
      <c r="L163" s="1213" t="s">
        <v>286</v>
      </c>
      <c r="M163" s="1214">
        <v>1</v>
      </c>
      <c r="N163" s="1325">
        <f t="shared" si="7"/>
        <v>25</v>
      </c>
      <c r="O163" s="1381"/>
      <c r="P163" s="1443"/>
      <c r="Q163" s="1216"/>
      <c r="R163" s="1440">
        <f t="shared" si="8"/>
        <v>25</v>
      </c>
      <c r="S163" s="1188"/>
    </row>
    <row r="164" spans="1:19" ht="13.5" thickBot="1">
      <c r="A164" s="1218"/>
      <c r="B164" s="1219">
        <v>341</v>
      </c>
      <c r="C164" s="816" t="s">
        <v>118</v>
      </c>
      <c r="D164" s="816"/>
      <c r="E164" s="816"/>
      <c r="F164" s="816"/>
      <c r="G164" s="814" t="s">
        <v>119</v>
      </c>
      <c r="H164" s="1209"/>
      <c r="I164" s="1441"/>
      <c r="J164" s="1240"/>
      <c r="K164" s="1510">
        <v>836.04</v>
      </c>
      <c r="L164" s="1213" t="s">
        <v>286</v>
      </c>
      <c r="M164" s="1214">
        <v>1</v>
      </c>
      <c r="N164" s="1325">
        <f t="shared" si="7"/>
        <v>836.04</v>
      </c>
      <c r="O164" s="1381"/>
      <c r="P164" s="1443"/>
      <c r="Q164" s="1216"/>
      <c r="R164" s="1440">
        <f t="shared" si="8"/>
        <v>836.04</v>
      </c>
      <c r="S164" s="1188"/>
    </row>
    <row r="165" spans="1:19" ht="13.5" thickBot="1">
      <c r="A165" s="1189" t="s">
        <v>49</v>
      </c>
      <c r="B165" s="1190"/>
      <c r="C165" s="1110"/>
      <c r="D165" s="1110"/>
      <c r="E165" s="1110"/>
      <c r="F165" s="1110"/>
      <c r="G165" s="1369"/>
      <c r="H165" s="1191">
        <f>SUM(H159:H164)</f>
        <v>0</v>
      </c>
      <c r="I165" s="1198"/>
      <c r="J165" s="1197">
        <f>SUM(J159:J164)</f>
        <v>0</v>
      </c>
      <c r="K165" s="1454"/>
      <c r="L165" s="1337"/>
      <c r="M165" s="1229"/>
      <c r="N165" s="1197">
        <f>SUM(N$159:N$164)</f>
        <v>1022.04</v>
      </c>
      <c r="O165" s="1455"/>
      <c r="P165" s="1466"/>
      <c r="Q165" s="1197"/>
      <c r="R165" s="1195">
        <f>SUM(R$159:R$164)</f>
        <v>1022.04</v>
      </c>
      <c r="S165" s="1199">
        <f>J165+N165+Q165</f>
        <v>1022.04</v>
      </c>
    </row>
    <row r="166" spans="1:19" ht="13.5" thickBot="1">
      <c r="A166" s="1168" t="s">
        <v>50</v>
      </c>
      <c r="B166" s="1467"/>
      <c r="C166" s="1431"/>
      <c r="D166" s="1431"/>
      <c r="E166" s="1431"/>
      <c r="F166" s="1431"/>
      <c r="G166" s="1372"/>
      <c r="H166" s="1226"/>
      <c r="I166" s="1228"/>
      <c r="J166" s="1456"/>
      <c r="K166" s="1266"/>
      <c r="L166" s="1204"/>
      <c r="M166" s="1205"/>
      <c r="N166" s="1227"/>
      <c r="O166" s="1457"/>
      <c r="P166" s="1458"/>
      <c r="Q166" s="1227"/>
      <c r="R166" s="1228"/>
      <c r="S166" s="1208" t="s">
        <v>55</v>
      </c>
    </row>
    <row r="167" spans="1:19">
      <c r="A167" s="1321"/>
      <c r="B167" s="1219">
        <v>321</v>
      </c>
      <c r="C167" s="789" t="s">
        <v>51</v>
      </c>
      <c r="D167" s="803"/>
      <c r="E167" s="803"/>
      <c r="F167" s="787"/>
      <c r="G167" s="804" t="s">
        <v>52</v>
      </c>
      <c r="H167" s="1406">
        <v>5</v>
      </c>
      <c r="I167" s="1324">
        <f>Machinery!V23</f>
        <v>15.64</v>
      </c>
      <c r="J167" s="1325">
        <f>H167*I167</f>
        <v>78.2</v>
      </c>
      <c r="K167" s="1348"/>
      <c r="L167" s="1213"/>
      <c r="M167" s="1349"/>
      <c r="N167" s="1325"/>
      <c r="O167" s="1365">
        <f>$H167*1.2</f>
        <v>6</v>
      </c>
      <c r="P167" s="1443">
        <f>Labor!I107</f>
        <v>8.4749230769230781</v>
      </c>
      <c r="Q167" s="1325">
        <f>$O167*$P167</f>
        <v>50.849538461538472</v>
      </c>
      <c r="R167" s="1495">
        <f>$Q167+$N167+$J167</f>
        <v>129.04953846153848</v>
      </c>
      <c r="S167" s="1331"/>
    </row>
    <row r="168" spans="1:19" ht="13.5" thickBot="1">
      <c r="A168" s="1218"/>
      <c r="B168" s="1219">
        <v>323</v>
      </c>
      <c r="C168" s="816" t="s">
        <v>53</v>
      </c>
      <c r="D168" s="816"/>
      <c r="E168" s="816"/>
      <c r="F168" s="816"/>
      <c r="G168" s="814"/>
      <c r="H168" s="1209"/>
      <c r="I168" s="1441"/>
      <c r="J168" s="1240"/>
      <c r="K168" s="1348">
        <f>Materials!D105</f>
        <v>70</v>
      </c>
      <c r="L168" s="1213" t="s">
        <v>286</v>
      </c>
      <c r="M168" s="1214">
        <v>1</v>
      </c>
      <c r="N168" s="1325">
        <f>$K168*M168</f>
        <v>70</v>
      </c>
      <c r="O168" s="1381"/>
      <c r="P168" s="1443"/>
      <c r="Q168" s="1216"/>
      <c r="R168" s="1440">
        <f>$Q168+$N168+$J168</f>
        <v>70</v>
      </c>
      <c r="S168" s="1188"/>
    </row>
    <row r="169" spans="1:19" ht="13.5" thickBot="1">
      <c r="A169" s="1189" t="s">
        <v>54</v>
      </c>
      <c r="B169" s="1190"/>
      <c r="C169" s="1110"/>
      <c r="D169" s="1110"/>
      <c r="E169" s="1110"/>
      <c r="F169" s="1110"/>
      <c r="G169" s="1112"/>
      <c r="H169" s="1191"/>
      <c r="I169" s="1198"/>
      <c r="J169" s="1197">
        <f>J167</f>
        <v>78.2</v>
      </c>
      <c r="K169" s="1454"/>
      <c r="L169" s="1337"/>
      <c r="M169" s="1229"/>
      <c r="N169" s="1197">
        <f>SUM(N$167:N$168)</f>
        <v>70</v>
      </c>
      <c r="O169" s="1455">
        <f>SUM(O$167:O$168)</f>
        <v>6</v>
      </c>
      <c r="P169" s="1466"/>
      <c r="Q169" s="1197">
        <f>SUM(Q$167:Q$168)</f>
        <v>50.849538461538472</v>
      </c>
      <c r="R169" s="1195">
        <f>SUM(R$167:R$168)</f>
        <v>199.04953846153848</v>
      </c>
      <c r="S169" s="1199">
        <f>J169+N169+Q169</f>
        <v>199.04953846153848</v>
      </c>
    </row>
    <row r="170" spans="1:19" ht="13.5" thickBot="1">
      <c r="A170" s="1496" t="s">
        <v>272</v>
      </c>
      <c r="B170" s="1497"/>
      <c r="C170" s="1497"/>
      <c r="D170" s="1497"/>
      <c r="E170" s="1497"/>
      <c r="F170" s="1497"/>
      <c r="G170" s="1498"/>
      <c r="H170" s="1499">
        <f>SUM(H$169+H$165+H157+H150+H$144+H$141+H$134+H$117+H$95+H$72+H$53+H$41+H$22+H$15)</f>
        <v>1563.8309999999999</v>
      </c>
      <c r="I170" s="1500"/>
      <c r="J170" s="1501">
        <f>SUM(J$169+J$165+J157+J150+J$144+J$141+J$134+J$117+J$95+J$72+J$53+J$41+J$22+J$15)</f>
        <v>3446.1434631529246</v>
      </c>
      <c r="K170" s="1502"/>
      <c r="L170" s="1503"/>
      <c r="M170" s="1500"/>
      <c r="N170" s="1501">
        <f>SUM(N$169+N$165+N157+N150+N$144+N$141+N$134+N$117+N$95+N$72+N$53+N$41+N$22+N$15)</f>
        <v>10440.39231461989</v>
      </c>
      <c r="O170" s="1504">
        <f>SUM(O$169+O$165+O157+O150+O$144+O$141+O$134+O$117+O$95+O$72+O$53+O$41+O$22+O$15)</f>
        <v>540.16753043478252</v>
      </c>
      <c r="P170" s="1500"/>
      <c r="Q170" s="1501">
        <f>SUM(Q$169+Q$165+Q157+Q150+Q$144+Q$141+Q$134+Q$117+Q$95+Q$72+Q$53+Q$41+Q$22+Q$15)</f>
        <v>13503.328886009365</v>
      </c>
      <c r="R170" s="1505">
        <f>SUM(R$169+R$165+R157+R150+R$144+R$141+R$134+R$117+R$95+R$72+R$53+R$41+R$22+R$15)</f>
        <v>27389.86466378218</v>
      </c>
      <c r="S170" s="1506">
        <f>SUM(S$169+S$165+S157+S150+S$144+S$141+S$134+S$117+S$95+S$72+S$53+S$41+S$22+S$15)</f>
        <v>27389.864663782177</v>
      </c>
    </row>
    <row r="171" spans="1:19" ht="13.5" thickTop="1"/>
    <row r="176" spans="1:19">
      <c r="G176" s="764" t="s">
        <v>274</v>
      </c>
      <c r="I176" s="1404"/>
      <c r="J176" s="828" t="s">
        <v>144</v>
      </c>
      <c r="K176" s="1404"/>
      <c r="M176" s="1404"/>
      <c r="N176" s="828" t="s">
        <v>158</v>
      </c>
      <c r="Q176" s="828" t="s">
        <v>146</v>
      </c>
    </row>
    <row r="177" spans="7:17">
      <c r="I177" s="1404"/>
      <c r="J177" s="828" t="s">
        <v>249</v>
      </c>
      <c r="N177" s="828" t="s">
        <v>249</v>
      </c>
      <c r="Q177" s="828" t="s">
        <v>249</v>
      </c>
    </row>
    <row r="178" spans="7:17">
      <c r="J178" s="1404"/>
      <c r="O178" s="1507"/>
    </row>
    <row r="179" spans="7:17">
      <c r="G179" s="764" t="s">
        <v>275</v>
      </c>
      <c r="J179" s="798">
        <f>J170-(J114+J115+J116+J91+J92+J93+J129+J128+J127)</f>
        <v>2272.6524562709715</v>
      </c>
      <c r="N179" s="1508">
        <f>N170-(N11+N12+N14)</f>
        <v>3216.8923146198904</v>
      </c>
      <c r="Q179" s="798">
        <f>Q170-(Q87+Q88+Q89+Q90+Q93+Q109+Q110+Q111+Q112+Q116+Q122+Q124+Q123+Q125+Q129)</f>
        <v>3768.4592552401336</v>
      </c>
    </row>
    <row r="180" spans="7:17">
      <c r="G180" s="764" t="s">
        <v>276</v>
      </c>
      <c r="J180" s="798">
        <f>J91+J92+J93+J114+J115+J116+J127+J128+J129</f>
        <v>1173.4910068819534</v>
      </c>
      <c r="N180" s="1509">
        <f>N11+N12+N14</f>
        <v>7223.5</v>
      </c>
      <c r="Q180" s="798">
        <f>SUM(Q87:Q93)+SUM(Q109:Q116)+SUM(Q122:Q129)</f>
        <v>10073.866553846154</v>
      </c>
    </row>
    <row r="182" spans="7:17">
      <c r="G182" s="764" t="s">
        <v>277</v>
      </c>
      <c r="H182" s="1404"/>
      <c r="J182" s="798">
        <f>SUM(J179+J180)</f>
        <v>3446.1434631529246</v>
      </c>
      <c r="N182" s="1508">
        <f>N179+N180</f>
        <v>10440.39231461989</v>
      </c>
      <c r="Q182" s="798">
        <f>Q179+Q180</f>
        <v>13842.325809086287</v>
      </c>
    </row>
  </sheetData>
  <sheetProtection password="A5F1" sheet="1" objects="1" scenarios="1"/>
  <mergeCells count="21">
    <mergeCell ref="C28:E28"/>
    <mergeCell ref="C67:E67"/>
    <mergeCell ref="C78:D78"/>
    <mergeCell ref="C80:D80"/>
    <mergeCell ref="C82:E82"/>
    <mergeCell ref="C62:D62"/>
    <mergeCell ref="C129:D129"/>
    <mergeCell ref="C104:D104"/>
    <mergeCell ref="C106:D106"/>
    <mergeCell ref="C116:D116"/>
    <mergeCell ref="C115:D115"/>
    <mergeCell ref="C128:D128"/>
    <mergeCell ref="C102:D102"/>
    <mergeCell ref="C127:D127"/>
    <mergeCell ref="C114:D114"/>
    <mergeCell ref="C46:D46"/>
    <mergeCell ref="C93:D93"/>
    <mergeCell ref="C92:D92"/>
    <mergeCell ref="C59:E59"/>
    <mergeCell ref="C91:D91"/>
    <mergeCell ref="C65:E65"/>
  </mergeCells>
  <phoneticPr fontId="0" type="noConversion"/>
  <pageMargins left="0.65" right="0.19" top="0.25" bottom="0.25" header="0.25" footer="0.25"/>
  <pageSetup scale="55" orientation="landscape" horizontalDpi="4294967293" verticalDpi="1200"/>
  <headerFooter alignWithMargins="0"/>
</worksheet>
</file>

<file path=xl/worksheets/sheet18.xml><?xml version="1.0" encoding="utf-8"?>
<worksheet xmlns="http://schemas.openxmlformats.org/spreadsheetml/2006/main" xmlns:r="http://schemas.openxmlformats.org/officeDocument/2006/relationships">
  <sheetPr codeName="Sheet6" enableFormatConditionsCalculation="0">
    <tabColor theme="3" tint="0.39997558519241921"/>
  </sheetPr>
  <dimension ref="A1:S182"/>
  <sheetViews>
    <sheetView topLeftCell="A116" zoomScaleNormal="100" workbookViewId="0">
      <selection activeCell="G57" sqref="G57"/>
    </sheetView>
  </sheetViews>
  <sheetFormatPr defaultColWidth="8.85546875" defaultRowHeight="12.75"/>
  <cols>
    <col min="1" max="1" width="8.85546875" style="764"/>
    <col min="2" max="2" width="9.28515625" style="764" bestFit="1" customWidth="1"/>
    <col min="3" max="5" width="8.85546875" style="764"/>
    <col min="6" max="6" width="6.7109375" style="764" customWidth="1"/>
    <col min="7" max="7" width="35.28515625" style="764" customWidth="1"/>
    <col min="8" max="9" width="9.42578125" style="764" bestFit="1" customWidth="1"/>
    <col min="10" max="10" width="14" style="764" bestFit="1" customWidth="1"/>
    <col min="11" max="11" width="9.42578125" style="764" bestFit="1" customWidth="1"/>
    <col min="12" max="12" width="8.85546875" style="764"/>
    <col min="13" max="13" width="9.42578125" style="764" bestFit="1" customWidth="1"/>
    <col min="14" max="14" width="12.28515625" style="764" customWidth="1"/>
    <col min="15" max="15" width="11.42578125" style="764" bestFit="1" customWidth="1"/>
    <col min="16" max="16" width="9.28515625" style="764" bestFit="1" customWidth="1"/>
    <col min="17" max="19" width="10.7109375" style="764" customWidth="1"/>
    <col min="20" max="16384" width="8.85546875" style="764"/>
  </cols>
  <sheetData>
    <row r="1" spans="1:19">
      <c r="A1" s="3" t="s">
        <v>739</v>
      </c>
      <c r="B1" s="916"/>
      <c r="C1" s="916"/>
      <c r="D1" s="916"/>
      <c r="E1" s="916"/>
      <c r="F1" s="916"/>
      <c r="G1" s="916"/>
      <c r="H1" s="916"/>
      <c r="I1" s="1409"/>
      <c r="J1" s="916"/>
      <c r="K1" s="1409"/>
      <c r="L1" s="916"/>
      <c r="M1" s="916"/>
      <c r="N1" s="1409"/>
      <c r="O1" s="916"/>
      <c r="P1" s="1410"/>
      <c r="Q1" s="916"/>
      <c r="R1" s="916"/>
      <c r="S1" s="916"/>
    </row>
    <row r="2" spans="1:19" ht="13.5" thickBot="1">
      <c r="A2" s="3" t="s">
        <v>7</v>
      </c>
      <c r="B2" s="916"/>
      <c r="C2" s="916"/>
      <c r="D2" s="916"/>
      <c r="E2" s="916"/>
      <c r="F2" s="916"/>
      <c r="G2" s="3" t="s">
        <v>7</v>
      </c>
      <c r="H2" s="916"/>
      <c r="I2" s="1409"/>
      <c r="J2" s="916"/>
      <c r="K2" s="1409"/>
      <c r="L2" s="916"/>
      <c r="M2" s="816"/>
      <c r="N2" s="1409" t="s">
        <v>7</v>
      </c>
      <c r="O2" s="916"/>
      <c r="P2" s="1410"/>
      <c r="Q2" s="916"/>
      <c r="R2" s="916"/>
      <c r="S2" s="916"/>
    </row>
    <row r="3" spans="1:19" ht="13.5" thickTop="1">
      <c r="A3" s="1142" t="s">
        <v>8</v>
      </c>
      <c r="B3" s="1143" t="s">
        <v>9</v>
      </c>
      <c r="C3" s="1143" t="s">
        <v>76</v>
      </c>
      <c r="D3" s="1143"/>
      <c r="E3" s="1143"/>
      <c r="F3" s="1143"/>
      <c r="G3" s="1143"/>
      <c r="H3" s="1145"/>
      <c r="I3" s="1143" t="s">
        <v>10</v>
      </c>
      <c r="J3" s="1149"/>
      <c r="K3" s="1143"/>
      <c r="L3" s="1411" t="s">
        <v>11</v>
      </c>
      <c r="M3" s="1143"/>
      <c r="N3" s="1411"/>
      <c r="O3" s="1412"/>
      <c r="P3" s="1143" t="s">
        <v>12</v>
      </c>
      <c r="Q3" s="1149"/>
      <c r="R3" s="1143" t="s">
        <v>13</v>
      </c>
      <c r="S3" s="1150" t="s">
        <v>14</v>
      </c>
    </row>
    <row r="4" spans="1:19" ht="13.5" thickBot="1">
      <c r="A4" s="1413"/>
      <c r="B4" s="1414"/>
      <c r="C4" s="1414" t="s">
        <v>77</v>
      </c>
      <c r="D4" s="1414"/>
      <c r="E4" s="1414"/>
      <c r="F4" s="1414"/>
      <c r="G4" s="1414"/>
      <c r="H4" s="1415" t="s">
        <v>15</v>
      </c>
      <c r="I4" s="1416" t="s">
        <v>16</v>
      </c>
      <c r="J4" s="1417" t="s">
        <v>17</v>
      </c>
      <c r="K4" s="1416" t="s">
        <v>18</v>
      </c>
      <c r="L4" s="1414" t="s">
        <v>19</v>
      </c>
      <c r="M4" s="1414" t="s">
        <v>267</v>
      </c>
      <c r="N4" s="1416" t="s">
        <v>21</v>
      </c>
      <c r="O4" s="1415" t="s">
        <v>15</v>
      </c>
      <c r="P4" s="1418" t="s">
        <v>16</v>
      </c>
      <c r="Q4" s="1417" t="s">
        <v>22</v>
      </c>
      <c r="R4" s="1414" t="s">
        <v>23</v>
      </c>
      <c r="S4" s="1419" t="s">
        <v>23</v>
      </c>
    </row>
    <row r="5" spans="1:19" ht="13.5" thickBot="1">
      <c r="A5" s="1420" t="s">
        <v>143</v>
      </c>
      <c r="B5" s="1421"/>
      <c r="C5" s="1422"/>
      <c r="D5" s="1422"/>
      <c r="E5" s="1423"/>
      <c r="F5" s="1423"/>
      <c r="G5" s="1424"/>
      <c r="H5" s="1425"/>
      <c r="I5" s="1426"/>
      <c r="J5" s="1427"/>
      <c r="K5" s="1426"/>
      <c r="L5" s="1422"/>
      <c r="M5" s="1422"/>
      <c r="N5" s="1426"/>
      <c r="O5" s="1425"/>
      <c r="P5" s="1428"/>
      <c r="Q5" s="1427"/>
      <c r="R5" s="1429"/>
      <c r="S5" s="1430"/>
    </row>
    <row r="6" spans="1:19" ht="13.5" thickBot="1">
      <c r="A6" s="1168" t="s">
        <v>79</v>
      </c>
      <c r="B6" s="1431"/>
      <c r="C6" s="1431"/>
      <c r="D6" s="1431"/>
      <c r="E6" s="1431"/>
      <c r="F6" s="1431"/>
      <c r="G6" s="1431"/>
      <c r="H6" s="1200"/>
      <c r="I6" s="1228"/>
      <c r="J6" s="1432"/>
      <c r="K6" s="1228"/>
      <c r="L6" s="1204"/>
      <c r="M6" s="1205"/>
      <c r="N6" s="1228"/>
      <c r="O6" s="1200"/>
      <c r="P6" s="1433"/>
      <c r="Q6" s="1207"/>
      <c r="R6" s="1206"/>
      <c r="S6" s="1208" t="s">
        <v>79</v>
      </c>
    </row>
    <row r="7" spans="1:19">
      <c r="A7" s="1176"/>
      <c r="B7" s="1177">
        <v>301</v>
      </c>
      <c r="C7" s="816" t="s">
        <v>24</v>
      </c>
      <c r="D7" s="816"/>
      <c r="E7" s="816"/>
      <c r="F7" s="816"/>
      <c r="G7" s="814" t="s">
        <v>25</v>
      </c>
      <c r="H7" s="1179"/>
      <c r="I7" s="1434"/>
      <c r="J7" s="1435"/>
      <c r="K7" s="1436">
        <f>Materials!F71</f>
        <v>6</v>
      </c>
      <c r="L7" s="1327" t="s">
        <v>300</v>
      </c>
      <c r="M7" s="1437">
        <v>1</v>
      </c>
      <c r="N7" s="1438">
        <f>K7*M7</f>
        <v>6</v>
      </c>
      <c r="O7" s="1479"/>
      <c r="P7" s="1439"/>
      <c r="Q7" s="1438"/>
      <c r="R7" s="1217">
        <f>$Q7+$N7+$J7</f>
        <v>6</v>
      </c>
      <c r="S7" s="1188"/>
    </row>
    <row r="8" spans="1:19">
      <c r="A8" s="1218"/>
      <c r="B8" s="1219">
        <v>3390</v>
      </c>
      <c r="C8" s="816" t="s">
        <v>104</v>
      </c>
      <c r="D8" s="816"/>
      <c r="E8" s="816"/>
      <c r="F8" s="816"/>
      <c r="G8" s="814" t="s">
        <v>122</v>
      </c>
      <c r="H8" s="1272">
        <v>30</v>
      </c>
      <c r="I8" s="1441">
        <f>Machinery!U7</f>
        <v>0.34666666666666662</v>
      </c>
      <c r="J8" s="1216">
        <f>H8*I8</f>
        <v>10.399999999999999</v>
      </c>
      <c r="K8" s="1442"/>
      <c r="L8" s="1213"/>
      <c r="M8" s="1214"/>
      <c r="N8" s="1216"/>
      <c r="O8" s="1511">
        <v>36</v>
      </c>
      <c r="P8" s="1443">
        <f>Labor!I107</f>
        <v>8.4749230769230781</v>
      </c>
      <c r="Q8" s="1216">
        <f>O8*P8</f>
        <v>305.0972307692308</v>
      </c>
      <c r="R8" s="1217">
        <f>$Q8+$N8+$J8</f>
        <v>315.49723076923078</v>
      </c>
      <c r="S8" s="1221"/>
    </row>
    <row r="9" spans="1:19">
      <c r="A9" s="1218"/>
      <c r="B9" s="1444">
        <v>342</v>
      </c>
      <c r="C9" s="816" t="s">
        <v>271</v>
      </c>
      <c r="D9" s="816"/>
      <c r="E9" s="816"/>
      <c r="F9" s="816" t="s">
        <v>269</v>
      </c>
      <c r="G9" s="1445">
        <f>Yields!F16</f>
        <v>19000</v>
      </c>
      <c r="H9" s="1446"/>
      <c r="I9" s="1441"/>
      <c r="J9" s="1447"/>
      <c r="K9" s="1442"/>
      <c r="L9" s="1213"/>
      <c r="M9" s="917"/>
      <c r="N9" s="1216"/>
      <c r="O9" s="1511">
        <v>2</v>
      </c>
      <c r="P9" s="1443">
        <f>Labor!I53</f>
        <v>15.721984615384617</v>
      </c>
      <c r="Q9" s="1216">
        <f>O9*P9</f>
        <v>31.443969230769234</v>
      </c>
      <c r="R9" s="1217">
        <f>$Q9+$N9+$J9</f>
        <v>31.443969230769234</v>
      </c>
      <c r="S9" s="1188"/>
    </row>
    <row r="10" spans="1:19">
      <c r="A10" s="1218"/>
      <c r="B10" s="1444"/>
      <c r="C10" s="816" t="s">
        <v>308</v>
      </c>
      <c r="D10" s="816" t="s">
        <v>270</v>
      </c>
      <c r="E10" s="816"/>
      <c r="F10" s="1448">
        <f>Yields!G5</f>
        <v>0.8</v>
      </c>
      <c r="H10" s="1446"/>
      <c r="I10" s="1441"/>
      <c r="J10" s="1447"/>
      <c r="K10" s="1442"/>
      <c r="L10" s="1441"/>
      <c r="M10" s="1441"/>
      <c r="N10" s="1216"/>
      <c r="O10" s="1381"/>
      <c r="P10" s="1443"/>
      <c r="Q10" s="1216"/>
      <c r="R10" s="1440"/>
      <c r="S10" s="1188"/>
    </row>
    <row r="11" spans="1:19">
      <c r="A11" s="1218"/>
      <c r="B11" s="1444"/>
      <c r="C11" s="816"/>
      <c r="D11" s="816" t="s">
        <v>656</v>
      </c>
      <c r="F11" s="816"/>
      <c r="H11" s="1446"/>
      <c r="I11" s="1441"/>
      <c r="J11" s="1447"/>
      <c r="K11" s="1442">
        <f>Materials!D88</f>
        <v>0.115</v>
      </c>
      <c r="L11" s="1213" t="s">
        <v>210</v>
      </c>
      <c r="M11" s="1449">
        <f>Yields!G17</f>
        <v>30400</v>
      </c>
      <c r="N11" s="1216">
        <f>K11*M11</f>
        <v>3496</v>
      </c>
      <c r="O11" s="1381"/>
      <c r="P11" s="1443"/>
      <c r="Q11" s="1447"/>
      <c r="R11" s="1440">
        <f>$Q11+$N11+$J11</f>
        <v>3496</v>
      </c>
      <c r="S11" s="1188"/>
    </row>
    <row r="12" spans="1:19">
      <c r="A12" s="1218"/>
      <c r="B12" s="1444"/>
      <c r="C12" s="816"/>
      <c r="D12" s="764" t="s">
        <v>657</v>
      </c>
      <c r="H12" s="1446"/>
      <c r="I12" s="1441"/>
      <c r="J12" s="1447"/>
      <c r="K12" s="1442">
        <f>Materials!D90</f>
        <v>1.75</v>
      </c>
      <c r="L12" s="1213" t="s">
        <v>210</v>
      </c>
      <c r="M12" s="1450">
        <f>M11/12</f>
        <v>2533.3333333333335</v>
      </c>
      <c r="N12" s="1216">
        <f>K12*M12</f>
        <v>4433.3333333333339</v>
      </c>
      <c r="O12" s="1381"/>
      <c r="P12" s="1443"/>
      <c r="Q12" s="1447"/>
      <c r="R12" s="1440">
        <f>$Q12+$N12+$J12</f>
        <v>4433.3333333333339</v>
      </c>
    </row>
    <row r="13" spans="1:19">
      <c r="A13" s="1218"/>
      <c r="B13" s="1444"/>
      <c r="C13" s="816" t="s">
        <v>336</v>
      </c>
      <c r="D13" s="1512" t="s">
        <v>270</v>
      </c>
      <c r="F13" s="786">
        <f>1-F10</f>
        <v>0.19999999999999996</v>
      </c>
      <c r="H13" s="1446"/>
      <c r="I13" s="917"/>
      <c r="J13" s="1447"/>
      <c r="K13" s="1442"/>
      <c r="L13" s="1213"/>
      <c r="M13" s="1513"/>
      <c r="N13" s="1216"/>
      <c r="O13" s="1381"/>
      <c r="P13" s="917"/>
      <c r="Q13" s="1447"/>
      <c r="R13" s="1217">
        <f>N13</f>
        <v>0</v>
      </c>
      <c r="S13" s="1188"/>
    </row>
    <row r="14" spans="1:19" ht="13.5" thickBot="1">
      <c r="A14" s="1218"/>
      <c r="B14" s="1487"/>
      <c r="C14" s="1488"/>
      <c r="D14" s="764" t="s">
        <v>313</v>
      </c>
      <c r="G14" s="1514"/>
      <c r="H14" s="1446"/>
      <c r="I14" s="917"/>
      <c r="J14" s="1447"/>
      <c r="K14" s="1442">
        <f>Materials!D91</f>
        <v>2.25</v>
      </c>
      <c r="L14" s="1213" t="s">
        <v>210</v>
      </c>
      <c r="M14" s="1513">
        <v>150</v>
      </c>
      <c r="N14" s="1216">
        <f>K14*M14</f>
        <v>337.5</v>
      </c>
      <c r="O14" s="1381"/>
      <c r="P14" s="917"/>
      <c r="Q14" s="1447"/>
      <c r="R14" s="1217">
        <f>$Q14+$N14+$J14</f>
        <v>337.5</v>
      </c>
      <c r="S14" s="1188"/>
    </row>
    <row r="15" spans="1:19" ht="13.5" thickBot="1">
      <c r="A15" s="1189" t="s">
        <v>80</v>
      </c>
      <c r="B15" s="1110"/>
      <c r="C15" s="1110"/>
      <c r="D15" s="1110"/>
      <c r="E15" s="1110"/>
      <c r="F15" s="1110"/>
      <c r="G15" s="1333"/>
      <c r="H15" s="1196">
        <v>0</v>
      </c>
      <c r="I15" s="1198"/>
      <c r="J15" s="1197">
        <f>SUM(J7:J14)</f>
        <v>10.399999999999999</v>
      </c>
      <c r="K15" s="1454"/>
      <c r="L15" s="1489"/>
      <c r="M15" s="1198"/>
      <c r="N15" s="1474">
        <f>SUM(N7:N14)</f>
        <v>8272.8333333333339</v>
      </c>
      <c r="O15" s="1455">
        <f>SUM(O7:O14)</f>
        <v>38</v>
      </c>
      <c r="P15" s="1198" t="s">
        <v>7</v>
      </c>
      <c r="Q15" s="1197">
        <f>SUM(Q7:Q14)</f>
        <v>336.54120000000006</v>
      </c>
      <c r="R15" s="1198">
        <f>SUM(R7:R14)</f>
        <v>8619.7745333333332</v>
      </c>
      <c r="S15" s="1199">
        <f>J15+N15+Q15</f>
        <v>8619.7745333333332</v>
      </c>
    </row>
    <row r="16" spans="1:19" ht="13.5" thickBot="1">
      <c r="A16" s="1168" t="s">
        <v>69</v>
      </c>
      <c r="B16" s="1431"/>
      <c r="C16" s="1431"/>
      <c r="D16" s="1431"/>
      <c r="E16" s="1431"/>
      <c r="F16" s="1431"/>
      <c r="G16" s="1342"/>
      <c r="H16" s="1200"/>
      <c r="I16" s="1228"/>
      <c r="J16" s="1456"/>
      <c r="K16" s="1266"/>
      <c r="L16" s="1204"/>
      <c r="M16" s="1205"/>
      <c r="N16" s="1227"/>
      <c r="O16" s="1457"/>
      <c r="P16" s="1458"/>
      <c r="Q16" s="1207"/>
      <c r="R16" s="1206"/>
      <c r="S16" s="1208" t="s">
        <v>69</v>
      </c>
    </row>
    <row r="17" spans="1:19">
      <c r="A17" s="1176"/>
      <c r="B17" s="1177">
        <v>301</v>
      </c>
      <c r="C17" s="816" t="s">
        <v>24</v>
      </c>
      <c r="D17" s="816"/>
      <c r="E17" s="816"/>
      <c r="F17" s="816"/>
      <c r="G17" s="814" t="s">
        <v>25</v>
      </c>
      <c r="H17" s="1209"/>
      <c r="I17" s="1441"/>
      <c r="J17" s="1240"/>
      <c r="K17" s="1442">
        <f>Materials!F71</f>
        <v>6</v>
      </c>
      <c r="L17" s="1213" t="s">
        <v>300</v>
      </c>
      <c r="M17" s="1214">
        <v>1</v>
      </c>
      <c r="N17" s="1216">
        <f>K17*M17</f>
        <v>6</v>
      </c>
      <c r="O17" s="1381"/>
      <c r="P17" s="1443"/>
      <c r="Q17" s="1216"/>
      <c r="R17" s="1217">
        <f>$Q17+$N17+$J17</f>
        <v>6</v>
      </c>
      <c r="S17" s="1188"/>
    </row>
    <row r="18" spans="1:19">
      <c r="A18" s="1350"/>
      <c r="B18" s="1444">
        <v>224</v>
      </c>
      <c r="C18" s="1664" t="s">
        <v>81</v>
      </c>
      <c r="D18" s="1665"/>
      <c r="E18" s="1665"/>
      <c r="F18" s="801"/>
      <c r="G18" s="1460"/>
      <c r="H18" s="1461"/>
      <c r="I18" s="1462"/>
      <c r="J18" s="1447"/>
      <c r="K18" s="1463">
        <f>Materials!D70</f>
        <v>25</v>
      </c>
      <c r="L18" s="1213"/>
      <c r="M18" s="1349">
        <v>1</v>
      </c>
      <c r="N18" s="1216">
        <f>K18*M18</f>
        <v>25</v>
      </c>
      <c r="O18" s="1408">
        <v>4.8</v>
      </c>
      <c r="P18" s="1443">
        <f>Labor!I107</f>
        <v>8.4749230769230781</v>
      </c>
      <c r="Q18" s="1355">
        <f>O18*P18</f>
        <v>40.679630769230776</v>
      </c>
      <c r="R18" s="1217">
        <f>$Q18+$N18+$J18</f>
        <v>65.679630769230783</v>
      </c>
      <c r="S18" s="1238"/>
    </row>
    <row r="19" spans="1:19">
      <c r="A19" s="1350"/>
      <c r="B19" s="1444"/>
      <c r="C19" s="809" t="s">
        <v>395</v>
      </c>
      <c r="D19" s="809"/>
      <c r="E19" s="809"/>
      <c r="F19" s="801"/>
      <c r="G19" s="814" t="s">
        <v>235</v>
      </c>
      <c r="H19" s="1272">
        <v>0.41699999999999998</v>
      </c>
      <c r="I19" s="1441">
        <f>Machinery!U5+Machinery!U8</f>
        <v>17.657110248000002</v>
      </c>
      <c r="J19" s="1216">
        <f>H19*I19</f>
        <v>7.3630149734160009</v>
      </c>
      <c r="K19" s="1442"/>
      <c r="L19" s="1213"/>
      <c r="M19" s="1214"/>
      <c r="N19" s="1216"/>
      <c r="O19" s="1381">
        <f>H19*1.2</f>
        <v>0.50039999999999996</v>
      </c>
      <c r="P19" s="1443">
        <f>Labor!I107</f>
        <v>8.4749230769230781</v>
      </c>
      <c r="Q19" s="1216">
        <f>+$P19*$O19</f>
        <v>4.2408515076923079</v>
      </c>
      <c r="R19" s="1464">
        <f>$Q19+$N19+$J19</f>
        <v>11.603866481108309</v>
      </c>
      <c r="S19" s="1238"/>
    </row>
    <row r="20" spans="1:19">
      <c r="A20" s="1350"/>
      <c r="B20" s="1444"/>
      <c r="C20" s="809"/>
      <c r="D20" s="809" t="s">
        <v>396</v>
      </c>
      <c r="E20" s="809"/>
      <c r="F20" s="801"/>
      <c r="G20" s="1460"/>
      <c r="H20" s="1461"/>
      <c r="I20" s="1462"/>
      <c r="J20" s="1447"/>
      <c r="K20" s="1463">
        <f>Materials!D40</f>
        <v>10</v>
      </c>
      <c r="L20" s="1354" t="str">
        <f>Materials!C40</f>
        <v>gallon</v>
      </c>
      <c r="M20" s="1349">
        <v>10</v>
      </c>
      <c r="N20" s="1216">
        <f>M20*K20</f>
        <v>100</v>
      </c>
      <c r="O20" s="1365"/>
      <c r="P20" s="1220"/>
      <c r="Q20" s="1355"/>
      <c r="R20" s="1464">
        <f>$Q20+$N20+$J20</f>
        <v>100</v>
      </c>
      <c r="S20" s="1238"/>
    </row>
    <row r="21" spans="1:19" ht="13.5" thickBot="1">
      <c r="A21" s="1218"/>
      <c r="B21" s="1219">
        <v>339</v>
      </c>
      <c r="C21" s="816" t="s">
        <v>104</v>
      </c>
      <c r="D21" s="816"/>
      <c r="E21" s="816"/>
      <c r="F21" s="816"/>
      <c r="G21" s="809" t="s">
        <v>122</v>
      </c>
      <c r="H21" s="1272">
        <v>15</v>
      </c>
      <c r="I21" s="1441">
        <f>Machinery!U7</f>
        <v>0.34666666666666662</v>
      </c>
      <c r="J21" s="1240">
        <f>H21*I21</f>
        <v>5.1999999999999993</v>
      </c>
      <c r="K21" s="1442"/>
      <c r="L21" s="1213"/>
      <c r="M21" s="1214"/>
      <c r="N21" s="1216"/>
      <c r="O21" s="1511">
        <v>18</v>
      </c>
      <c r="P21" s="1443">
        <f>Labor!I107</f>
        <v>8.4749230769230781</v>
      </c>
      <c r="Q21" s="1465">
        <f>O21*P21</f>
        <v>152.5486153846154</v>
      </c>
      <c r="R21" s="1217">
        <f>$Q21+$N21+$J21</f>
        <v>157.74861538461539</v>
      </c>
      <c r="S21" s="1188"/>
    </row>
    <row r="22" spans="1:19" ht="13.5" thickBot="1">
      <c r="A22" s="1189" t="s">
        <v>74</v>
      </c>
      <c r="B22" s="1190"/>
      <c r="C22" s="1110"/>
      <c r="D22" s="1110"/>
      <c r="E22" s="1110"/>
      <c r="F22" s="1110"/>
      <c r="G22" s="1369"/>
      <c r="H22" s="1191">
        <f>SUM(H$17:H$21)</f>
        <v>15.417</v>
      </c>
      <c r="I22" s="1198"/>
      <c r="J22" s="1197">
        <f>SUM(J17:J21)</f>
        <v>12.563014973415999</v>
      </c>
      <c r="K22" s="1454"/>
      <c r="L22" s="1337"/>
      <c r="M22" s="1229"/>
      <c r="N22" s="1197">
        <f>SUM(N$17:N$21)</f>
        <v>131</v>
      </c>
      <c r="O22" s="1455">
        <f>SUM(O$17:O$21)</f>
        <v>23.3004</v>
      </c>
      <c r="P22" s="1466"/>
      <c r="Q22" s="1197">
        <f>SUM(Q$17:Q$21)</f>
        <v>197.46909766153848</v>
      </c>
      <c r="R22" s="1198">
        <f>SUM(R$17:R$21)</f>
        <v>341.0321126349545</v>
      </c>
      <c r="S22" s="1199">
        <f>J22+N22+Q22</f>
        <v>341.0321126349545</v>
      </c>
    </row>
    <row r="23" spans="1:19" ht="13.5" thickBot="1">
      <c r="A23" s="1168" t="s">
        <v>84</v>
      </c>
      <c r="B23" s="1467"/>
      <c r="C23" s="1431"/>
      <c r="D23" s="1431"/>
      <c r="E23" s="1431"/>
      <c r="F23" s="1431"/>
      <c r="G23" s="1372"/>
      <c r="H23" s="1226"/>
      <c r="I23" s="1228"/>
      <c r="J23" s="1456"/>
      <c r="K23" s="1266"/>
      <c r="L23" s="1204"/>
      <c r="M23" s="1205"/>
      <c r="N23" s="1227"/>
      <c r="O23" s="1457"/>
      <c r="P23" s="1458"/>
      <c r="Q23" s="1227"/>
      <c r="R23" s="1228"/>
      <c r="S23" s="1208" t="s">
        <v>84</v>
      </c>
    </row>
    <row r="24" spans="1:19">
      <c r="A24" s="1176"/>
      <c r="B24" s="1177">
        <v>301</v>
      </c>
      <c r="C24" s="816" t="s">
        <v>24</v>
      </c>
      <c r="D24" s="816"/>
      <c r="E24" s="816"/>
      <c r="F24" s="816"/>
      <c r="G24" s="814" t="s">
        <v>25</v>
      </c>
      <c r="H24" s="1209"/>
      <c r="I24" s="1441"/>
      <c r="J24" s="1240"/>
      <c r="K24" s="1442">
        <f>Materials!F71</f>
        <v>6</v>
      </c>
      <c r="L24" s="1213" t="s">
        <v>300</v>
      </c>
      <c r="M24" s="1214">
        <v>1</v>
      </c>
      <c r="N24" s="1216">
        <f>K24*M24</f>
        <v>6</v>
      </c>
      <c r="O24" s="1381"/>
      <c r="P24" s="1443"/>
      <c r="Q24" s="1216"/>
      <c r="R24" s="1187">
        <f t="shared" ref="R24:R39" si="0">$Q24+$N24+$J24</f>
        <v>6</v>
      </c>
      <c r="S24" s="1188"/>
    </row>
    <row r="25" spans="1:19">
      <c r="A25" s="1218"/>
      <c r="B25" s="1219">
        <v>343</v>
      </c>
      <c r="C25" s="816" t="s">
        <v>315</v>
      </c>
      <c r="D25" s="816"/>
      <c r="E25" s="816"/>
      <c r="F25" s="816"/>
      <c r="G25" s="814" t="s">
        <v>235</v>
      </c>
      <c r="H25" s="1272">
        <v>0.41699999999999998</v>
      </c>
      <c r="I25" s="1441">
        <f>Machinery!U5+Machinery!U8</f>
        <v>17.657110248000002</v>
      </c>
      <c r="J25" s="1216">
        <f>H25*I25</f>
        <v>7.3630149734160009</v>
      </c>
      <c r="K25" s="1442"/>
      <c r="L25" s="1213"/>
      <c r="M25" s="1214"/>
      <c r="N25" s="1216"/>
      <c r="O25" s="1381">
        <f>H25*1.2</f>
        <v>0.50039999999999996</v>
      </c>
      <c r="P25" s="1443">
        <f>Labor!I107</f>
        <v>8.4749230769230781</v>
      </c>
      <c r="Q25" s="1216">
        <f>+$P25*$O25</f>
        <v>4.2408515076923079</v>
      </c>
      <c r="R25" s="1464">
        <f t="shared" si="0"/>
        <v>11.603866481108309</v>
      </c>
      <c r="S25" s="1188"/>
    </row>
    <row r="26" spans="1:19">
      <c r="A26" s="1218"/>
      <c r="B26" s="1219"/>
      <c r="C26" s="816"/>
      <c r="D26" s="816" t="s">
        <v>295</v>
      </c>
      <c r="E26" s="816"/>
      <c r="F26" s="816"/>
      <c r="G26" s="814"/>
      <c r="H26" s="1209"/>
      <c r="I26" s="1441"/>
      <c r="J26" s="1240"/>
      <c r="K26" s="1442">
        <f>Materials!D26</f>
        <v>0.51930810916211012</v>
      </c>
      <c r="L26" s="1213" t="str">
        <f>+Materials!C26</f>
        <v>oz</v>
      </c>
      <c r="M26" s="1214">
        <f>Materials!B26</f>
        <v>6</v>
      </c>
      <c r="N26" s="1216">
        <f>K26*M26</f>
        <v>3.1158486549726607</v>
      </c>
      <c r="O26" s="1381"/>
      <c r="P26" s="1443"/>
      <c r="Q26" s="1216"/>
      <c r="R26" s="1464">
        <f t="shared" si="0"/>
        <v>3.1158486549726607</v>
      </c>
      <c r="S26" s="1188"/>
    </row>
    <row r="27" spans="1:19">
      <c r="A27" s="1218"/>
      <c r="B27" s="1219">
        <v>344</v>
      </c>
      <c r="C27" s="1664" t="s">
        <v>318</v>
      </c>
      <c r="D27" s="1665"/>
      <c r="E27" s="1665"/>
      <c r="F27" s="816"/>
      <c r="G27" s="814" t="s">
        <v>235</v>
      </c>
      <c r="H27" s="1272">
        <v>0.41699999999999998</v>
      </c>
      <c r="I27" s="1462">
        <f>Machinery!U5+Machinery!U8</f>
        <v>17.657110248000002</v>
      </c>
      <c r="J27" s="1325">
        <f>I27*H27</f>
        <v>7.3630149734160009</v>
      </c>
      <c r="K27" s="1357"/>
      <c r="L27" s="1213"/>
      <c r="M27" s="1349"/>
      <c r="N27" s="1325"/>
      <c r="O27" s="1381">
        <f>H27*1.2</f>
        <v>0.50039999999999996</v>
      </c>
      <c r="P27" s="1443">
        <f>Labor!I107</f>
        <v>8.4749230769230781</v>
      </c>
      <c r="Q27" s="1216">
        <f>+$P27*$O27</f>
        <v>4.2408515076923079</v>
      </c>
      <c r="R27" s="1464">
        <f t="shared" si="0"/>
        <v>11.603866481108309</v>
      </c>
      <c r="S27" s="1188"/>
    </row>
    <row r="28" spans="1:19">
      <c r="A28" s="1218"/>
      <c r="B28" s="1219"/>
      <c r="C28" s="816"/>
      <c r="D28" s="816" t="s">
        <v>295</v>
      </c>
      <c r="E28" s="816"/>
      <c r="F28" s="816"/>
      <c r="G28" s="814"/>
      <c r="H28" s="1209"/>
      <c r="I28" s="1462"/>
      <c r="J28" s="1325"/>
      <c r="K28" s="1442">
        <f>Materials!D26</f>
        <v>0.51930810916211012</v>
      </c>
      <c r="L28" s="1213" t="str">
        <f>+Materials!C26</f>
        <v>oz</v>
      </c>
      <c r="M28" s="1214">
        <f>Materials!B26</f>
        <v>6</v>
      </c>
      <c r="N28" s="1216">
        <f>K28*M28</f>
        <v>3.1158486549726607</v>
      </c>
      <c r="O28" s="1381"/>
      <c r="P28" s="1443"/>
      <c r="Q28" s="1216"/>
      <c r="R28" s="1464">
        <f t="shared" si="0"/>
        <v>3.1158486549726607</v>
      </c>
      <c r="S28" s="1188"/>
    </row>
    <row r="29" spans="1:19">
      <c r="A29" s="1218"/>
      <c r="B29" s="1219"/>
      <c r="C29" s="816"/>
      <c r="D29" s="809" t="s">
        <v>113</v>
      </c>
      <c r="E29" s="801"/>
      <c r="F29" s="819"/>
      <c r="G29" s="1469"/>
      <c r="H29" s="1209"/>
      <c r="I29" s="1462"/>
      <c r="J29" s="1447"/>
      <c r="K29" s="1357">
        <f>Materials!D33</f>
        <v>4</v>
      </c>
      <c r="L29" s="1213" t="str">
        <f>+Materials!C33</f>
        <v>lb</v>
      </c>
      <c r="M29" s="1349">
        <f>Materials!B33</f>
        <v>4</v>
      </c>
      <c r="N29" s="1325">
        <f>K29*M29</f>
        <v>16</v>
      </c>
      <c r="O29" s="1365"/>
      <c r="P29" s="1220"/>
      <c r="Q29" s="1325"/>
      <c r="R29" s="1464">
        <f t="shared" si="0"/>
        <v>16</v>
      </c>
      <c r="S29" s="1188"/>
    </row>
    <row r="30" spans="1:19">
      <c r="A30" s="1468"/>
      <c r="B30" s="1322"/>
      <c r="C30" s="816"/>
      <c r="D30" s="809" t="s">
        <v>137</v>
      </c>
      <c r="E30" s="801"/>
      <c r="F30" s="819"/>
      <c r="G30" s="1469"/>
      <c r="H30" s="1209"/>
      <c r="I30" s="1462"/>
      <c r="J30" s="1447"/>
      <c r="K30" s="1357">
        <f>Materials!D38</f>
        <v>6</v>
      </c>
      <c r="L30" s="1213" t="str">
        <f>+Materials!C38</f>
        <v>oz</v>
      </c>
      <c r="M30" s="1349">
        <f>Materials!B38</f>
        <v>2.5</v>
      </c>
      <c r="N30" s="1325">
        <f>K30*M30</f>
        <v>15</v>
      </c>
      <c r="O30" s="1365"/>
      <c r="P30" s="1220"/>
      <c r="Q30" s="1325"/>
      <c r="R30" s="1464">
        <f t="shared" si="0"/>
        <v>15</v>
      </c>
      <c r="S30" s="1188"/>
    </row>
    <row r="31" spans="1:19">
      <c r="A31" s="1218"/>
      <c r="B31" s="1219">
        <v>343</v>
      </c>
      <c r="C31" s="816" t="s">
        <v>124</v>
      </c>
      <c r="D31" s="816"/>
      <c r="E31" s="816"/>
      <c r="F31" s="816"/>
      <c r="G31" s="814" t="s">
        <v>389</v>
      </c>
      <c r="H31" s="1406">
        <v>0.108</v>
      </c>
      <c r="I31" s="1324">
        <f>Machinery!U12+Machinery!U4</f>
        <v>9.1801094500000016</v>
      </c>
      <c r="J31" s="1325">
        <f>H31*I31</f>
        <v>0.99145182060000014</v>
      </c>
      <c r="K31" s="1442"/>
      <c r="L31" s="1470"/>
      <c r="M31" s="1354"/>
      <c r="N31" s="1325"/>
      <c r="O31" s="1408">
        <v>10</v>
      </c>
      <c r="P31" s="1443">
        <f>Labor!I107</f>
        <v>8.4749230769230781</v>
      </c>
      <c r="Q31" s="1325">
        <f>O31*P31</f>
        <v>84.749230769230778</v>
      </c>
      <c r="R31" s="1187">
        <f t="shared" si="0"/>
        <v>85.740682589830783</v>
      </c>
      <c r="S31" s="1471"/>
    </row>
    <row r="32" spans="1:19">
      <c r="A32" s="1218"/>
      <c r="B32" s="1219">
        <v>346</v>
      </c>
      <c r="C32" s="816" t="s">
        <v>91</v>
      </c>
      <c r="D32" s="816"/>
      <c r="E32" s="816"/>
      <c r="F32" s="816"/>
      <c r="G32" s="814" t="s">
        <v>569</v>
      </c>
      <c r="H32" s="1272">
        <v>3</v>
      </c>
      <c r="I32" s="1324">
        <f>Machinery!U18+Machinery!U17+Machinery!U19</f>
        <v>16.483727893333331</v>
      </c>
      <c r="J32" s="1325">
        <f>H32*I32</f>
        <v>49.451183679999993</v>
      </c>
      <c r="K32" s="1357"/>
      <c r="L32" s="1213"/>
      <c r="M32" s="1349"/>
      <c r="N32" s="1325"/>
      <c r="O32" s="1365">
        <f>H32/6</f>
        <v>0.5</v>
      </c>
      <c r="P32" s="1443">
        <f>Labor!I107</f>
        <v>8.4749230769230781</v>
      </c>
      <c r="Q32" s="1325">
        <f>P32*O32</f>
        <v>4.2374615384615391</v>
      </c>
      <c r="R32" s="1464">
        <f t="shared" si="0"/>
        <v>53.688645218461531</v>
      </c>
      <c r="S32" s="1356"/>
    </row>
    <row r="33" spans="1:19">
      <c r="A33" s="1218"/>
      <c r="B33" s="1219"/>
      <c r="C33" s="816"/>
      <c r="D33" s="789" t="s">
        <v>394</v>
      </c>
      <c r="E33" s="816"/>
      <c r="F33" s="816"/>
      <c r="G33" s="814"/>
      <c r="H33" s="1209"/>
      <c r="I33" s="1324"/>
      <c r="J33" s="1325"/>
      <c r="K33" s="1357">
        <f>Materials!D16</f>
        <v>0.22900000000000001</v>
      </c>
      <c r="L33" s="1472" t="str">
        <f>Materials!C11</f>
        <v>lbs</v>
      </c>
      <c r="M33" s="1473">
        <f>Materials!B11</f>
        <v>5.48</v>
      </c>
      <c r="N33" s="1325">
        <f>K33*M33</f>
        <v>1.2549200000000003</v>
      </c>
      <c r="O33" s="1365"/>
      <c r="P33" s="1220"/>
      <c r="Q33" s="1325"/>
      <c r="R33" s="1464">
        <f t="shared" si="0"/>
        <v>1.2549200000000003</v>
      </c>
      <c r="S33" s="1356"/>
    </row>
    <row r="34" spans="1:19">
      <c r="A34" s="1218"/>
      <c r="B34" s="1219"/>
      <c r="C34" s="816" t="s">
        <v>392</v>
      </c>
      <c r="D34" s="789"/>
      <c r="E34" s="816"/>
      <c r="F34" s="816"/>
      <c r="G34" s="814" t="s">
        <v>393</v>
      </c>
      <c r="H34" s="1272">
        <v>0.41699999999999998</v>
      </c>
      <c r="I34" s="1324">
        <f>Machinery!U5+Machinery!U8</f>
        <v>17.657110248000002</v>
      </c>
      <c r="J34" s="1325">
        <f>H34*I34</f>
        <v>7.3630149734160009</v>
      </c>
      <c r="K34" s="1357"/>
      <c r="L34" s="1472"/>
      <c r="M34" s="1473"/>
      <c r="N34" s="1325"/>
      <c r="O34" s="1365">
        <f>H34*1.2</f>
        <v>0.50039999999999996</v>
      </c>
      <c r="P34" s="1443">
        <f>Labor!I107</f>
        <v>8.4749230769230781</v>
      </c>
      <c r="Q34" s="1325">
        <f>P34*O34</f>
        <v>4.2408515076923079</v>
      </c>
      <c r="R34" s="1464">
        <f t="shared" si="0"/>
        <v>11.603866481108309</v>
      </c>
      <c r="S34" s="1356"/>
    </row>
    <row r="35" spans="1:19">
      <c r="A35" s="1218"/>
      <c r="B35" s="1219"/>
      <c r="C35" s="816"/>
      <c r="D35" s="809" t="s">
        <v>99</v>
      </c>
      <c r="E35" s="801"/>
      <c r="F35" s="819"/>
      <c r="G35" s="1469"/>
      <c r="H35" s="1461"/>
      <c r="I35" s="1462"/>
      <c r="J35" s="1447"/>
      <c r="K35" s="1357">
        <f>Materials!D10</f>
        <v>1.98</v>
      </c>
      <c r="L35" s="1472" t="str">
        <f>Materials!C10</f>
        <v>lbs</v>
      </c>
      <c r="M35" s="1473">
        <v>0.8</v>
      </c>
      <c r="N35" s="1325">
        <f>K35*M35</f>
        <v>1.5840000000000001</v>
      </c>
      <c r="O35" s="1365">
        <v>0</v>
      </c>
      <c r="P35" s="1443">
        <f>Labor!I107</f>
        <v>8.4749230769230781</v>
      </c>
      <c r="Q35" s="1216">
        <f>$O35*$P35</f>
        <v>0</v>
      </c>
      <c r="R35" s="1464">
        <f t="shared" si="0"/>
        <v>1.5840000000000001</v>
      </c>
      <c r="S35" s="1356"/>
    </row>
    <row r="36" spans="1:19">
      <c r="A36" s="1218"/>
      <c r="B36" s="1219">
        <v>304</v>
      </c>
      <c r="C36" s="816" t="s">
        <v>32</v>
      </c>
      <c r="D36" s="816"/>
      <c r="E36" s="816"/>
      <c r="F36" s="816"/>
      <c r="G36" s="814" t="s">
        <v>234</v>
      </c>
      <c r="H36" s="1272">
        <v>0.41699999999999998</v>
      </c>
      <c r="I36" s="1462">
        <f>Machinery!U5+Machinery!U6</f>
        <v>14.084135823</v>
      </c>
      <c r="J36" s="1325">
        <f>H36*I36</f>
        <v>5.873084638191</v>
      </c>
      <c r="K36" s="1357"/>
      <c r="L36" s="1213"/>
      <c r="M36" s="1349"/>
      <c r="N36" s="1325"/>
      <c r="O36" s="1381">
        <f>H36*1.2</f>
        <v>0.50039999999999996</v>
      </c>
      <c r="P36" s="1443">
        <f>Labor!I107</f>
        <v>8.4749230769230781</v>
      </c>
      <c r="Q36" s="1216">
        <f>+$P36*$O36</f>
        <v>4.2408515076923079</v>
      </c>
      <c r="R36" s="1464">
        <f t="shared" si="0"/>
        <v>10.113936145883308</v>
      </c>
      <c r="S36" s="1188"/>
    </row>
    <row r="37" spans="1:19">
      <c r="A37" s="1218"/>
      <c r="B37" s="1219"/>
      <c r="C37" s="816"/>
      <c r="D37" s="816" t="s">
        <v>125</v>
      </c>
      <c r="E37" s="816"/>
      <c r="F37" s="816"/>
      <c r="G37" s="814"/>
      <c r="H37" s="1209"/>
      <c r="I37" s="1462"/>
      <c r="J37" s="1325"/>
      <c r="K37" s="1357">
        <f>Materials!D21</f>
        <v>3.52</v>
      </c>
      <c r="L37" s="1213" t="str">
        <f>+Materials!C21</f>
        <v>quart</v>
      </c>
      <c r="M37" s="1349">
        <f>Materials!B21</f>
        <v>1</v>
      </c>
      <c r="N37" s="1325">
        <f>K37*M37</f>
        <v>3.52</v>
      </c>
      <c r="O37" s="1381"/>
      <c r="P37" s="1443"/>
      <c r="Q37" s="1216"/>
      <c r="R37" s="1464">
        <f t="shared" si="0"/>
        <v>3.52</v>
      </c>
      <c r="S37" s="1188"/>
    </row>
    <row r="38" spans="1:19">
      <c r="A38" s="1218"/>
      <c r="B38" s="1219"/>
      <c r="C38" s="816" t="s">
        <v>32</v>
      </c>
      <c r="D38" s="816"/>
      <c r="E38" s="816"/>
      <c r="F38" s="816"/>
      <c r="G38" s="814" t="s">
        <v>234</v>
      </c>
      <c r="H38" s="1272">
        <v>0.41699999999999998</v>
      </c>
      <c r="I38" s="1462">
        <f>Machinery!U5+Machinery!U6</f>
        <v>14.084135823</v>
      </c>
      <c r="J38" s="1325">
        <f>H38*I38</f>
        <v>5.873084638191</v>
      </c>
      <c r="K38" s="1357"/>
      <c r="L38" s="1213"/>
      <c r="M38" s="1349"/>
      <c r="N38" s="1325"/>
      <c r="O38" s="1381">
        <f>H38*1.2</f>
        <v>0.50039999999999996</v>
      </c>
      <c r="P38" s="1443">
        <f>Labor!I107</f>
        <v>8.4749230769230781</v>
      </c>
      <c r="Q38" s="1216">
        <f>+$P38*$O38</f>
        <v>4.2408515076923079</v>
      </c>
      <c r="R38" s="1464">
        <f t="shared" si="0"/>
        <v>10.113936145883308</v>
      </c>
      <c r="S38" s="1188"/>
    </row>
    <row r="39" spans="1:19" ht="13.5" thickBot="1">
      <c r="A39" s="1218"/>
      <c r="B39" s="1219"/>
      <c r="C39" s="816"/>
      <c r="D39" s="816" t="s">
        <v>290</v>
      </c>
      <c r="E39" s="816"/>
      <c r="F39" s="816"/>
      <c r="G39" s="814"/>
      <c r="H39" s="1209"/>
      <c r="I39" s="1462"/>
      <c r="J39" s="1325"/>
      <c r="K39" s="1357">
        <f>Materials!D20</f>
        <v>46</v>
      </c>
      <c r="L39" s="1213" t="str">
        <f>+Materials!C20</f>
        <v>quart</v>
      </c>
      <c r="M39" s="1349">
        <f>Materials!B20</f>
        <v>2</v>
      </c>
      <c r="N39" s="1325">
        <f>K39*M39</f>
        <v>92</v>
      </c>
      <c r="O39" s="1381"/>
      <c r="P39" s="1443"/>
      <c r="Q39" s="1216"/>
      <c r="R39" s="1464">
        <f t="shared" si="0"/>
        <v>92</v>
      </c>
      <c r="S39" s="1188"/>
    </row>
    <row r="40" spans="1:19" ht="13.5" thickBot="1">
      <c r="A40" s="1189" t="s">
        <v>93</v>
      </c>
      <c r="B40" s="1190"/>
      <c r="C40" s="1110"/>
      <c r="D40" s="1110"/>
      <c r="E40" s="1110"/>
      <c r="F40" s="1110"/>
      <c r="G40" s="1369"/>
      <c r="H40" s="1191">
        <f>SUM(H$24:H$39)</f>
        <v>5.1929999999999996</v>
      </c>
      <c r="I40" s="1198"/>
      <c r="J40" s="1197">
        <f>SUM(J$24:J$39)</f>
        <v>84.277849697229996</v>
      </c>
      <c r="K40" s="1454"/>
      <c r="L40" s="1337"/>
      <c r="M40" s="1229"/>
      <c r="N40" s="1197">
        <f>SUM(N$24:N$39)</f>
        <v>141.59061730994532</v>
      </c>
      <c r="O40" s="1455">
        <f>SUM(O$24:O$39)</f>
        <v>13.001999999999999</v>
      </c>
      <c r="P40" s="1466"/>
      <c r="Q40" s="1197">
        <f>SUM(Q$24:Q$39)</f>
        <v>110.19094984615387</v>
      </c>
      <c r="R40" s="1198">
        <f>SUM(R$24:R$39)</f>
        <v>336.0594168533292</v>
      </c>
      <c r="S40" s="1199">
        <f>J40+N40+Q40</f>
        <v>336.05941685332914</v>
      </c>
    </row>
    <row r="41" spans="1:19" ht="13.5" thickBot="1">
      <c r="A41" s="1168" t="s">
        <v>57</v>
      </c>
      <c r="B41" s="1467"/>
      <c r="C41" s="1431"/>
      <c r="D41" s="1431"/>
      <c r="E41" s="1431"/>
      <c r="F41" s="1431"/>
      <c r="G41" s="1372"/>
      <c r="H41" s="1226"/>
      <c r="I41" s="1228"/>
      <c r="J41" s="1456"/>
      <c r="K41" s="1266"/>
      <c r="L41" s="1204"/>
      <c r="M41" s="1205"/>
      <c r="N41" s="1227"/>
      <c r="O41" s="1457"/>
      <c r="P41" s="1458"/>
      <c r="Q41" s="1227"/>
      <c r="R41" s="1228"/>
      <c r="S41" s="1208" t="s">
        <v>57</v>
      </c>
    </row>
    <row r="42" spans="1:19">
      <c r="A42" s="1176"/>
      <c r="B42" s="1177">
        <v>301</v>
      </c>
      <c r="C42" s="816" t="s">
        <v>24</v>
      </c>
      <c r="D42" s="816"/>
      <c r="E42" s="816"/>
      <c r="F42" s="816"/>
      <c r="G42" s="814" t="s">
        <v>25</v>
      </c>
      <c r="H42" s="1209"/>
      <c r="I42" s="1441"/>
      <c r="J42" s="1240"/>
      <c r="K42" s="1442">
        <f>Materials!F71</f>
        <v>6</v>
      </c>
      <c r="L42" s="1213" t="s">
        <v>300</v>
      </c>
      <c r="M42" s="1214">
        <v>1</v>
      </c>
      <c r="N42" s="1216">
        <f>K42*M42</f>
        <v>6</v>
      </c>
      <c r="O42" s="1381"/>
      <c r="P42" s="1443"/>
      <c r="Q42" s="1216"/>
      <c r="R42" s="1217">
        <f t="shared" ref="R42:R51" si="1">$Q42+$N42+$J42</f>
        <v>6</v>
      </c>
      <c r="S42" s="1188"/>
    </row>
    <row r="43" spans="1:19">
      <c r="A43" s="1218"/>
      <c r="B43" s="1219">
        <v>347</v>
      </c>
      <c r="C43" s="816" t="s">
        <v>316</v>
      </c>
      <c r="D43" s="816"/>
      <c r="E43" s="816"/>
      <c r="F43" s="816"/>
      <c r="G43" s="814" t="s">
        <v>235</v>
      </c>
      <c r="H43" s="1272">
        <v>0.41699999999999998</v>
      </c>
      <c r="I43" s="1441">
        <f>Machinery!U5+Machinery!U8</f>
        <v>17.657110248000002</v>
      </c>
      <c r="J43" s="1240">
        <f>H43*I43</f>
        <v>7.3630149734160009</v>
      </c>
      <c r="K43" s="1442"/>
      <c r="L43" s="1213"/>
      <c r="M43" s="1214"/>
      <c r="N43" s="1216"/>
      <c r="O43" s="1381">
        <f>H43*1.2</f>
        <v>0.50039999999999996</v>
      </c>
      <c r="P43" s="1443">
        <f>Labor!I107</f>
        <v>8.4749230769230781</v>
      </c>
      <c r="Q43" s="1216">
        <f>+$P43*$O43</f>
        <v>4.2408515076923079</v>
      </c>
      <c r="R43" s="1440">
        <f t="shared" si="1"/>
        <v>11.603866481108309</v>
      </c>
      <c r="S43" s="1188"/>
    </row>
    <row r="44" spans="1:19">
      <c r="A44" s="1218"/>
      <c r="B44" s="1219"/>
      <c r="C44" s="816"/>
      <c r="D44" s="816" t="s">
        <v>294</v>
      </c>
      <c r="E44" s="816"/>
      <c r="F44" s="816"/>
      <c r="G44" s="814"/>
      <c r="H44" s="1209"/>
      <c r="I44" s="1441"/>
      <c r="J44" s="1240"/>
      <c r="K44" s="1442">
        <f>Materials!D35</f>
        <v>3.5</v>
      </c>
      <c r="L44" s="1472" t="str">
        <f>Materials!C35</f>
        <v>oz</v>
      </c>
      <c r="M44" s="1473">
        <f>Materials!B35</f>
        <v>20</v>
      </c>
      <c r="N44" s="1216">
        <f>K44*M44</f>
        <v>70</v>
      </c>
      <c r="O44" s="1381"/>
      <c r="P44" s="1443"/>
      <c r="Q44" s="1216"/>
      <c r="R44" s="1440">
        <f t="shared" si="1"/>
        <v>70</v>
      </c>
      <c r="S44" s="1188"/>
    </row>
    <row r="45" spans="1:19">
      <c r="A45" s="1218"/>
      <c r="B45" s="1219"/>
      <c r="C45" s="1664" t="s">
        <v>316</v>
      </c>
      <c r="D45" s="1665"/>
      <c r="E45" s="816"/>
      <c r="F45" s="816"/>
      <c r="G45" s="814" t="s">
        <v>235</v>
      </c>
      <c r="H45" s="1272">
        <v>0.41699999999999998</v>
      </c>
      <c r="I45" s="1441">
        <f>Machinery!U5+Machinery!U8</f>
        <v>17.657110248000002</v>
      </c>
      <c r="J45" s="1240">
        <f>H45*I45</f>
        <v>7.3630149734160009</v>
      </c>
      <c r="K45" s="1442"/>
      <c r="L45" s="1213"/>
      <c r="M45" s="1214"/>
      <c r="N45" s="1216"/>
      <c r="O45" s="1381">
        <f>H45*1.2</f>
        <v>0.50039999999999996</v>
      </c>
      <c r="P45" s="1443">
        <f>Labor!I107</f>
        <v>8.4749230769230781</v>
      </c>
      <c r="Q45" s="1216">
        <f>+$P45*$O45</f>
        <v>4.2408515076923079</v>
      </c>
      <c r="R45" s="1440">
        <f t="shared" si="1"/>
        <v>11.603866481108309</v>
      </c>
      <c r="S45" s="1188"/>
    </row>
    <row r="46" spans="1:19">
      <c r="A46" s="1218"/>
      <c r="B46" s="1219"/>
      <c r="C46" s="816"/>
      <c r="D46" s="816" t="s">
        <v>113</v>
      </c>
      <c r="E46" s="816"/>
      <c r="F46" s="816"/>
      <c r="G46" s="814"/>
      <c r="H46" s="1209"/>
      <c r="I46" s="1441"/>
      <c r="J46" s="1240"/>
      <c r="K46" s="1442">
        <f>Materials!D33</f>
        <v>4</v>
      </c>
      <c r="L46" s="1472" t="str">
        <f>Materials!C33</f>
        <v>lb</v>
      </c>
      <c r="M46" s="1214">
        <f>Materials!B33</f>
        <v>4</v>
      </c>
      <c r="N46" s="1216">
        <f>K46*M46</f>
        <v>16</v>
      </c>
      <c r="O46" s="1381"/>
      <c r="P46" s="1443"/>
      <c r="Q46" s="1216"/>
      <c r="R46" s="1440">
        <f t="shared" si="1"/>
        <v>16</v>
      </c>
      <c r="S46" s="1188"/>
    </row>
    <row r="47" spans="1:19">
      <c r="A47" s="1218"/>
      <c r="B47" s="1219"/>
      <c r="C47" s="816"/>
      <c r="D47" s="816" t="s">
        <v>137</v>
      </c>
      <c r="E47" s="816"/>
      <c r="F47" s="816"/>
      <c r="G47" s="814"/>
      <c r="H47" s="1209"/>
      <c r="I47" s="1441"/>
      <c r="J47" s="1240"/>
      <c r="K47" s="1442">
        <f>Materials!D38</f>
        <v>6</v>
      </c>
      <c r="L47" s="1472" t="str">
        <f>Materials!C38</f>
        <v>oz</v>
      </c>
      <c r="M47" s="1214">
        <f>Materials!B38</f>
        <v>2.5</v>
      </c>
      <c r="N47" s="1216">
        <f>K47*M47</f>
        <v>15</v>
      </c>
      <c r="O47" s="1381"/>
      <c r="P47" s="1443"/>
      <c r="Q47" s="1216"/>
      <c r="R47" s="1440">
        <f t="shared" si="1"/>
        <v>15</v>
      </c>
      <c r="S47" s="1188"/>
    </row>
    <row r="48" spans="1:19">
      <c r="A48" s="1218"/>
      <c r="B48" s="1219">
        <v>346</v>
      </c>
      <c r="C48" s="816" t="s">
        <v>91</v>
      </c>
      <c r="D48" s="816"/>
      <c r="E48" s="816"/>
      <c r="F48" s="1178"/>
      <c r="G48" s="814" t="s">
        <v>569</v>
      </c>
      <c r="H48" s="1272">
        <v>3</v>
      </c>
      <c r="I48" s="1324">
        <f>Machinery!U18+Machinery!U17+Machinery!U19</f>
        <v>16.483727893333331</v>
      </c>
      <c r="J48" s="1240">
        <f>H48*I48</f>
        <v>49.451183679999993</v>
      </c>
      <c r="K48" s="1442"/>
      <c r="L48" s="1213"/>
      <c r="M48" s="1214"/>
      <c r="N48" s="1216"/>
      <c r="O48" s="1381">
        <f>H48/6</f>
        <v>0.5</v>
      </c>
      <c r="P48" s="1443">
        <f>Labor!I107</f>
        <v>8.4749230769230781</v>
      </c>
      <c r="Q48" s="1216">
        <f>$O48*$P48</f>
        <v>4.2374615384615391</v>
      </c>
      <c r="R48" s="1440">
        <f t="shared" si="1"/>
        <v>53.688645218461531</v>
      </c>
      <c r="S48" s="1221"/>
    </row>
    <row r="49" spans="1:19">
      <c r="A49" s="1218"/>
      <c r="B49" s="1219"/>
      <c r="C49" s="816"/>
      <c r="D49" s="789" t="s">
        <v>391</v>
      </c>
      <c r="E49" s="816"/>
      <c r="F49" s="816"/>
      <c r="G49" s="814"/>
      <c r="H49" s="1209"/>
      <c r="I49" s="1324"/>
      <c r="J49" s="1325"/>
      <c r="K49" s="1357">
        <f>Materials!D12</f>
        <v>0.35</v>
      </c>
      <c r="L49" s="1472" t="str">
        <f>Materials!C12</f>
        <v>lbs</v>
      </c>
      <c r="M49" s="1473">
        <v>110</v>
      </c>
      <c r="N49" s="1325">
        <f>K49*M49</f>
        <v>38.5</v>
      </c>
      <c r="O49" s="1365"/>
      <c r="P49" s="1220"/>
      <c r="Q49" s="1325"/>
      <c r="R49" s="1464">
        <f t="shared" si="1"/>
        <v>38.5</v>
      </c>
      <c r="S49" s="1188"/>
    </row>
    <row r="50" spans="1:19">
      <c r="A50" s="1218"/>
      <c r="B50" s="1219">
        <v>348</v>
      </c>
      <c r="C50" s="816" t="s">
        <v>128</v>
      </c>
      <c r="D50" s="816"/>
      <c r="E50" s="816"/>
      <c r="F50" s="816"/>
      <c r="G50" s="814"/>
      <c r="H50" s="1209"/>
      <c r="I50" s="1441"/>
      <c r="J50" s="1240"/>
      <c r="K50" s="1442"/>
      <c r="L50" s="1213"/>
      <c r="M50" s="1214"/>
      <c r="N50" s="1216"/>
      <c r="O50" s="1511">
        <v>2</v>
      </c>
      <c r="P50" s="1443">
        <f>Labor!I107</f>
        <v>8.4749230769230781</v>
      </c>
      <c r="Q50" s="1325">
        <f>O50*P50</f>
        <v>16.949846153846156</v>
      </c>
      <c r="R50" s="1217">
        <f t="shared" si="1"/>
        <v>16.949846153846156</v>
      </c>
      <c r="S50" s="1221"/>
    </row>
    <row r="51" spans="1:19" ht="13.5" thickBot="1">
      <c r="A51" s="1218"/>
      <c r="B51" s="1444">
        <v>349</v>
      </c>
      <c r="C51" s="816" t="s">
        <v>129</v>
      </c>
      <c r="D51" s="816"/>
      <c r="E51" s="816"/>
      <c r="F51" s="816"/>
      <c r="G51" s="809"/>
      <c r="H51" s="1446"/>
      <c r="I51" s="1441"/>
      <c r="J51" s="1447"/>
      <c r="K51" s="1442">
        <f>Materials!D69</f>
        <v>75</v>
      </c>
      <c r="L51" s="1213" t="s">
        <v>130</v>
      </c>
      <c r="M51" s="1453">
        <f>Materials!B69</f>
        <v>2</v>
      </c>
      <c r="N51" s="1216">
        <f>K51*M51</f>
        <v>150</v>
      </c>
      <c r="O51" s="1381"/>
      <c r="P51" s="1443"/>
      <c r="Q51" s="1447"/>
      <c r="R51" s="1217">
        <f t="shared" si="1"/>
        <v>150</v>
      </c>
      <c r="S51" s="1188"/>
    </row>
    <row r="52" spans="1:19" ht="13.5" thickBot="1">
      <c r="A52" s="1189" t="s">
        <v>58</v>
      </c>
      <c r="B52" s="1190"/>
      <c r="C52" s="1110"/>
      <c r="D52" s="1110"/>
      <c r="E52" s="1110"/>
      <c r="F52" s="1110"/>
      <c r="G52" s="1369"/>
      <c r="H52" s="1191">
        <f>SUM(H42:H51)</f>
        <v>3.8340000000000001</v>
      </c>
      <c r="I52" s="1198"/>
      <c r="J52" s="1474">
        <f>SUM(J$42:J$51)</f>
        <v>64.177213626832</v>
      </c>
      <c r="K52" s="1454"/>
      <c r="L52" s="1360"/>
      <c r="M52" s="1195"/>
      <c r="N52" s="1197">
        <f>SUM(N$42:N$51)</f>
        <v>295.5</v>
      </c>
      <c r="O52" s="1455">
        <f>SUM(O$42:O$51)</f>
        <v>3.5007999999999999</v>
      </c>
      <c r="P52" s="1466"/>
      <c r="Q52" s="1197">
        <f>SUM(Q$42:Q$51)</f>
        <v>29.669010707692312</v>
      </c>
      <c r="R52" s="1198">
        <f>SUM(R42:R51)</f>
        <v>389.34622433452432</v>
      </c>
      <c r="S52" s="1199">
        <f>J52+N52+Q52</f>
        <v>389.34622433452432</v>
      </c>
    </row>
    <row r="53" spans="1:19" ht="13.5" thickBot="1">
      <c r="A53" s="1168" t="s">
        <v>28</v>
      </c>
      <c r="B53" s="1467"/>
      <c r="C53" s="1431"/>
      <c r="D53" s="1431"/>
      <c r="E53" s="1431"/>
      <c r="F53" s="1431"/>
      <c r="G53" s="1372"/>
      <c r="H53" s="1226"/>
      <c r="I53" s="1228"/>
      <c r="J53" s="1456"/>
      <c r="K53" s="1266"/>
      <c r="L53" s="1204"/>
      <c r="M53" s="1205"/>
      <c r="N53" s="1227"/>
      <c r="O53" s="1457"/>
      <c r="P53" s="1458"/>
      <c r="Q53" s="1227"/>
      <c r="R53" s="1228"/>
      <c r="S53" s="1208" t="s">
        <v>28</v>
      </c>
    </row>
    <row r="54" spans="1:19">
      <c r="A54" s="1176"/>
      <c r="B54" s="1177">
        <v>301</v>
      </c>
      <c r="C54" s="816" t="s">
        <v>24</v>
      </c>
      <c r="D54" s="816"/>
      <c r="E54" s="816"/>
      <c r="F54" s="816"/>
      <c r="G54" s="814" t="s">
        <v>25</v>
      </c>
      <c r="H54" s="1209"/>
      <c r="I54" s="1441"/>
      <c r="J54" s="1240"/>
      <c r="K54" s="1442">
        <f>Materials!F71</f>
        <v>6</v>
      </c>
      <c r="L54" s="1213" t="s">
        <v>300</v>
      </c>
      <c r="M54" s="1214">
        <v>1</v>
      </c>
      <c r="N54" s="1216">
        <f>K54*M54</f>
        <v>6</v>
      </c>
      <c r="O54" s="1381"/>
      <c r="P54" s="1443"/>
      <c r="Q54" s="1216"/>
      <c r="R54" s="1217">
        <f>$Q54+$N54+$J54</f>
        <v>6</v>
      </c>
      <c r="S54" s="1188"/>
    </row>
    <row r="55" spans="1:19">
      <c r="A55" s="1218"/>
      <c r="B55" s="1219">
        <v>309</v>
      </c>
      <c r="C55" s="816" t="s">
        <v>73</v>
      </c>
      <c r="D55" s="816"/>
      <c r="E55" s="816"/>
      <c r="F55" s="816"/>
      <c r="G55" s="814" t="s">
        <v>236</v>
      </c>
      <c r="H55" s="1272">
        <v>0.5</v>
      </c>
      <c r="I55" s="1324">
        <f>Machinery!U5+Machinery!U9</f>
        <v>14.78363566577778</v>
      </c>
      <c r="J55" s="1325">
        <f>H55*I55</f>
        <v>7.3918178328888899</v>
      </c>
      <c r="K55" s="1374"/>
      <c r="L55" s="1213"/>
      <c r="M55" s="1354"/>
      <c r="N55" s="1325"/>
      <c r="O55" s="1381">
        <f>H55*1.2</f>
        <v>0.6</v>
      </c>
      <c r="P55" s="1443">
        <f>Labor!I107</f>
        <v>8.4749230769230781</v>
      </c>
      <c r="Q55" s="1355">
        <f>O55*8.25</f>
        <v>4.95</v>
      </c>
      <c r="R55" s="1187">
        <f>J55+Q55</f>
        <v>12.341817832888889</v>
      </c>
      <c r="S55" s="1356"/>
    </row>
    <row r="56" spans="1:19">
      <c r="A56" s="1218"/>
      <c r="B56" s="1219"/>
      <c r="C56" s="816" t="s">
        <v>91</v>
      </c>
      <c r="D56" s="816"/>
      <c r="E56" s="816"/>
      <c r="F56" s="1178"/>
      <c r="G56" s="814" t="s">
        <v>569</v>
      </c>
      <c r="H56" s="1272">
        <v>3</v>
      </c>
      <c r="I56" s="1324">
        <f>Machinery!U18+Machinery!U17+Machinery!U19</f>
        <v>16.483727893333331</v>
      </c>
      <c r="J56" s="1240">
        <f>H56*I56</f>
        <v>49.451183679999993</v>
      </c>
      <c r="K56" s="1442"/>
      <c r="L56" s="1213"/>
      <c r="M56" s="1214"/>
      <c r="N56" s="1216"/>
      <c r="O56" s="1381">
        <f>H56/6</f>
        <v>0.5</v>
      </c>
      <c r="P56" s="1443">
        <f>Labor!I107</f>
        <v>8.4749230769230781</v>
      </c>
      <c r="Q56" s="1216">
        <f>$O56*$P56</f>
        <v>4.2374615384615391</v>
      </c>
      <c r="R56" s="1440">
        <f t="shared" ref="R56:R69" si="2">$Q56+$N56+$J56</f>
        <v>53.688645218461531</v>
      </c>
      <c r="S56" s="1221"/>
    </row>
    <row r="57" spans="1:19">
      <c r="A57" s="1218"/>
      <c r="B57" s="1219"/>
      <c r="C57" s="816"/>
      <c r="D57" s="789" t="s">
        <v>391</v>
      </c>
      <c r="E57" s="816"/>
      <c r="F57" s="816"/>
      <c r="G57" s="814"/>
      <c r="H57" s="1209"/>
      <c r="I57" s="1324"/>
      <c r="J57" s="1325"/>
      <c r="K57" s="1357">
        <f>Materials!D14</f>
        <v>0.4</v>
      </c>
      <c r="L57" s="1472" t="str">
        <f>Materials!C14</f>
        <v>lbs</v>
      </c>
      <c r="M57" s="1473">
        <v>110</v>
      </c>
      <c r="N57" s="1325">
        <f>K57*M57</f>
        <v>44</v>
      </c>
      <c r="O57" s="1365"/>
      <c r="P57" s="1220"/>
      <c r="Q57" s="1325"/>
      <c r="R57" s="1464">
        <f t="shared" si="2"/>
        <v>44</v>
      </c>
      <c r="S57" s="1188"/>
    </row>
    <row r="58" spans="1:19">
      <c r="A58" s="1218"/>
      <c r="B58" s="1219">
        <v>350</v>
      </c>
      <c r="C58" s="1664" t="s">
        <v>318</v>
      </c>
      <c r="D58" s="1665"/>
      <c r="E58" s="1665"/>
      <c r="F58" s="816"/>
      <c r="G58" s="814" t="s">
        <v>235</v>
      </c>
      <c r="H58" s="1272">
        <v>0.41699999999999998</v>
      </c>
      <c r="I58" s="1441">
        <f>Machinery!U5+Machinery!U8</f>
        <v>17.657110248000002</v>
      </c>
      <c r="J58" s="1325">
        <f>H58*I58</f>
        <v>7.3630149734160009</v>
      </c>
      <c r="K58" s="1442"/>
      <c r="L58" s="1213"/>
      <c r="M58" s="1214"/>
      <c r="N58" s="1216"/>
      <c r="O58" s="1381">
        <f>H58*1.2</f>
        <v>0.50039999999999996</v>
      </c>
      <c r="P58" s="1443">
        <f>Labor!I107</f>
        <v>8.4749230769230781</v>
      </c>
      <c r="Q58" s="1216">
        <f>$O58*$P58</f>
        <v>4.2408515076923079</v>
      </c>
      <c r="R58" s="1440">
        <f t="shared" si="2"/>
        <v>11.603866481108309</v>
      </c>
      <c r="S58" s="1188"/>
    </row>
    <row r="59" spans="1:19">
      <c r="A59" s="1218"/>
      <c r="B59" s="1219"/>
      <c r="C59" s="816"/>
      <c r="D59" s="816" t="s">
        <v>301</v>
      </c>
      <c r="E59" s="816"/>
      <c r="F59" s="816"/>
      <c r="G59" s="814"/>
      <c r="H59" s="1209"/>
      <c r="I59" s="1441"/>
      <c r="J59" s="1325"/>
      <c r="K59" s="1442">
        <f>Materials!D26</f>
        <v>0.51930810916211012</v>
      </c>
      <c r="L59" s="1472" t="str">
        <f>Materials!C26</f>
        <v>oz</v>
      </c>
      <c r="M59" s="1214">
        <f>Materials!B26</f>
        <v>6</v>
      </c>
      <c r="N59" s="1216">
        <f>K59*M59</f>
        <v>3.1158486549726607</v>
      </c>
      <c r="O59" s="1381"/>
      <c r="P59" s="1443"/>
      <c r="Q59" s="1216"/>
      <c r="R59" s="1440">
        <f t="shared" si="2"/>
        <v>3.1158486549726607</v>
      </c>
      <c r="S59" s="1188"/>
    </row>
    <row r="60" spans="1:19">
      <c r="A60" s="1218"/>
      <c r="B60" s="1219"/>
      <c r="C60" s="816"/>
      <c r="D60" s="816" t="s">
        <v>133</v>
      </c>
      <c r="E60" s="816"/>
      <c r="F60" s="816"/>
      <c r="G60" s="814"/>
      <c r="H60" s="1209"/>
      <c r="I60" s="1441"/>
      <c r="J60" s="1325"/>
      <c r="K60" s="1442">
        <f>Materials!D36</f>
        <v>40</v>
      </c>
      <c r="L60" s="1472" t="str">
        <f>Materials!C36</f>
        <v>lbs</v>
      </c>
      <c r="M60" s="1214">
        <f>Materials!B36</f>
        <v>1.5</v>
      </c>
      <c r="N60" s="1216">
        <f>K60*M60</f>
        <v>60</v>
      </c>
      <c r="O60" s="1381"/>
      <c r="P60" s="1443"/>
      <c r="Q60" s="1216"/>
      <c r="R60" s="1440">
        <f t="shared" si="2"/>
        <v>60</v>
      </c>
      <c r="S60" s="1188"/>
    </row>
    <row r="61" spans="1:19">
      <c r="A61" s="1218"/>
      <c r="B61" s="1219"/>
      <c r="C61" s="1664" t="s">
        <v>316</v>
      </c>
      <c r="D61" s="1665"/>
      <c r="E61" s="816"/>
      <c r="F61" s="816"/>
      <c r="G61" s="814" t="s">
        <v>235</v>
      </c>
      <c r="H61" s="1272">
        <v>0.41699999999999998</v>
      </c>
      <c r="I61" s="1441">
        <f>Machinery!U5+Machinery!U8</f>
        <v>17.657110248000002</v>
      </c>
      <c r="J61" s="1325">
        <f>H61*I61</f>
        <v>7.3630149734160009</v>
      </c>
      <c r="K61" s="1442"/>
      <c r="L61" s="1213"/>
      <c r="M61" s="1214"/>
      <c r="N61" s="1216"/>
      <c r="O61" s="1381">
        <f>H61*1.2</f>
        <v>0.50039999999999996</v>
      </c>
      <c r="P61" s="1443">
        <f>Labor!I107</f>
        <v>8.4749230769230781</v>
      </c>
      <c r="Q61" s="1216">
        <f>$O61*$P61</f>
        <v>4.2408515076923079</v>
      </c>
      <c r="R61" s="1440">
        <f t="shared" si="2"/>
        <v>11.603866481108309</v>
      </c>
      <c r="S61" s="1188"/>
    </row>
    <row r="62" spans="1:19">
      <c r="A62" s="1218"/>
      <c r="B62" s="1219"/>
      <c r="C62" s="816"/>
      <c r="D62" s="816" t="s">
        <v>126</v>
      </c>
      <c r="E62" s="816"/>
      <c r="F62" s="816"/>
      <c r="G62" s="814"/>
      <c r="H62" s="1209"/>
      <c r="I62" s="1441"/>
      <c r="J62" s="1325"/>
      <c r="K62" s="1442">
        <f>Materials!D33</f>
        <v>4</v>
      </c>
      <c r="L62" s="1472" t="str">
        <f>Materials!C33</f>
        <v>lb</v>
      </c>
      <c r="M62" s="1214">
        <f>Materials!B33</f>
        <v>4</v>
      </c>
      <c r="N62" s="1216">
        <f>K62*M62</f>
        <v>16</v>
      </c>
      <c r="O62" s="1381"/>
      <c r="P62" s="1443"/>
      <c r="Q62" s="1216"/>
      <c r="R62" s="1440">
        <f t="shared" si="2"/>
        <v>16</v>
      </c>
      <c r="S62" s="1188"/>
    </row>
    <row r="63" spans="1:19">
      <c r="A63" s="1218"/>
      <c r="B63" s="1219"/>
      <c r="C63" s="816"/>
      <c r="D63" s="816" t="s">
        <v>137</v>
      </c>
      <c r="E63" s="816"/>
      <c r="F63" s="816"/>
      <c r="G63" s="814"/>
      <c r="H63" s="1209"/>
      <c r="I63" s="1441"/>
      <c r="J63" s="1325"/>
      <c r="K63" s="1442">
        <f>Materials!D38</f>
        <v>6</v>
      </c>
      <c r="L63" s="1472" t="str">
        <f>Materials!C38</f>
        <v>oz</v>
      </c>
      <c r="M63" s="1214">
        <f>Materials!B38</f>
        <v>2.5</v>
      </c>
      <c r="N63" s="1216">
        <f>K63*M63</f>
        <v>15</v>
      </c>
      <c r="O63" s="1381"/>
      <c r="P63" s="1443"/>
      <c r="Q63" s="1216"/>
      <c r="R63" s="1440">
        <f t="shared" si="2"/>
        <v>15</v>
      </c>
      <c r="S63" s="1188"/>
    </row>
    <row r="64" spans="1:19">
      <c r="A64" s="1218"/>
      <c r="B64" s="1219"/>
      <c r="C64" s="1664" t="s">
        <v>317</v>
      </c>
      <c r="D64" s="1665"/>
      <c r="E64" s="1665"/>
      <c r="F64" s="816"/>
      <c r="G64" s="814" t="s">
        <v>235</v>
      </c>
      <c r="H64" s="1272">
        <v>0.41699999999999998</v>
      </c>
      <c r="I64" s="1441">
        <f>Machinery!U5+Machinery!U8</f>
        <v>17.657110248000002</v>
      </c>
      <c r="J64" s="1325">
        <f>H64*I64</f>
        <v>7.3630149734160009</v>
      </c>
      <c r="K64" s="1442"/>
      <c r="L64" s="1213"/>
      <c r="M64" s="1214"/>
      <c r="N64" s="1216"/>
      <c r="O64" s="1381">
        <f>H64*1.2</f>
        <v>0.50039999999999996</v>
      </c>
      <c r="P64" s="1443">
        <f>Labor!I107</f>
        <v>8.4749230769230781</v>
      </c>
      <c r="Q64" s="1216">
        <f>$O64*$P64</f>
        <v>4.2408515076923079</v>
      </c>
      <c r="R64" s="1440">
        <f t="shared" si="2"/>
        <v>11.603866481108309</v>
      </c>
      <c r="S64" s="1188"/>
    </row>
    <row r="65" spans="1:19">
      <c r="A65" s="1218"/>
      <c r="B65" s="1219"/>
      <c r="C65" s="816"/>
      <c r="D65" s="816" t="s">
        <v>293</v>
      </c>
      <c r="E65" s="816"/>
      <c r="F65" s="816"/>
      <c r="G65" s="814"/>
      <c r="H65" s="1209"/>
      <c r="I65" s="1441"/>
      <c r="J65" s="1325"/>
      <c r="K65" s="1442">
        <f>Materials!D24</f>
        <v>16</v>
      </c>
      <c r="L65" s="1472" t="str">
        <f>Materials!C24</f>
        <v>oz</v>
      </c>
      <c r="M65" s="1214">
        <f>Materials!B24</f>
        <v>4</v>
      </c>
      <c r="N65" s="1216">
        <f>K65*M65</f>
        <v>64</v>
      </c>
      <c r="O65" s="1381"/>
      <c r="P65" s="1443"/>
      <c r="Q65" s="1216"/>
      <c r="R65" s="1440">
        <f t="shared" si="2"/>
        <v>64</v>
      </c>
      <c r="S65" s="1188"/>
    </row>
    <row r="66" spans="1:19">
      <c r="A66" s="1218"/>
      <c r="B66" s="1219"/>
      <c r="C66" s="1664" t="s">
        <v>316</v>
      </c>
      <c r="D66" s="1665"/>
      <c r="E66" s="1665"/>
      <c r="F66" s="816"/>
      <c r="G66" s="814" t="s">
        <v>235</v>
      </c>
      <c r="H66" s="1272">
        <v>0.41699999999999998</v>
      </c>
      <c r="I66" s="1441">
        <f>Machinery!U5+Machinery!U8</f>
        <v>17.657110248000002</v>
      </c>
      <c r="J66" s="1325">
        <f>H66*I66</f>
        <v>7.3630149734160009</v>
      </c>
      <c r="K66" s="1442"/>
      <c r="L66" s="1213"/>
      <c r="M66" s="1214"/>
      <c r="N66" s="1216"/>
      <c r="O66" s="1381">
        <f>H66*1.2</f>
        <v>0.50039999999999996</v>
      </c>
      <c r="P66" s="1443">
        <f>Labor!I107</f>
        <v>8.4749230769230781</v>
      </c>
      <c r="Q66" s="1216">
        <f>$O66*$P66</f>
        <v>4.2408515076923079</v>
      </c>
      <c r="R66" s="1440">
        <f t="shared" si="2"/>
        <v>11.603866481108309</v>
      </c>
      <c r="S66" s="1188"/>
    </row>
    <row r="67" spans="1:19">
      <c r="A67" s="1218"/>
      <c r="B67" s="1219"/>
      <c r="C67" s="809"/>
      <c r="D67" s="809" t="s">
        <v>294</v>
      </c>
      <c r="E67" s="809"/>
      <c r="F67" s="816"/>
      <c r="G67" s="814"/>
      <c r="H67" s="1209"/>
      <c r="I67" s="1441"/>
      <c r="J67" s="1325"/>
      <c r="K67" s="1442">
        <f>Materials!D35</f>
        <v>3.5</v>
      </c>
      <c r="L67" s="1472" t="str">
        <f>Materials!C35</f>
        <v>oz</v>
      </c>
      <c r="M67" s="1214">
        <f>Materials!B35</f>
        <v>20</v>
      </c>
      <c r="N67" s="1216">
        <f>K67*M67</f>
        <v>70</v>
      </c>
      <c r="O67" s="1381"/>
      <c r="P67" s="1443"/>
      <c r="Q67" s="1216"/>
      <c r="R67" s="1440">
        <f t="shared" si="2"/>
        <v>70</v>
      </c>
      <c r="S67" s="1188"/>
    </row>
    <row r="68" spans="1:19">
      <c r="A68" s="1218"/>
      <c r="B68" s="1219">
        <v>347</v>
      </c>
      <c r="C68" s="816" t="s">
        <v>135</v>
      </c>
      <c r="D68" s="816"/>
      <c r="E68" s="816"/>
      <c r="F68" s="816"/>
      <c r="G68" s="814"/>
      <c r="H68" s="1209"/>
      <c r="I68" s="1441"/>
      <c r="J68" s="1240"/>
      <c r="K68" s="1442"/>
      <c r="L68" s="1213"/>
      <c r="M68" s="1214"/>
      <c r="N68" s="1216"/>
      <c r="O68" s="1511">
        <v>0.5</v>
      </c>
      <c r="P68" s="1443">
        <f>Labor!I107</f>
        <v>8.4749230769230781</v>
      </c>
      <c r="Q68" s="1216">
        <f>$O68*$P68</f>
        <v>4.2374615384615391</v>
      </c>
      <c r="R68" s="1217">
        <f t="shared" si="2"/>
        <v>4.2374615384615391</v>
      </c>
      <c r="S68" s="1221"/>
    </row>
    <row r="69" spans="1:19">
      <c r="A69" s="1218"/>
      <c r="B69" s="1219"/>
      <c r="C69" s="816" t="s">
        <v>106</v>
      </c>
      <c r="D69" s="816"/>
      <c r="E69" s="816"/>
      <c r="F69" s="816"/>
      <c r="G69" s="814" t="s">
        <v>570</v>
      </c>
      <c r="H69" s="1272">
        <v>30</v>
      </c>
      <c r="I69" s="1441">
        <f>Machinery!U17+Machinery!U18+Machinery!U19</f>
        <v>16.483727893333331</v>
      </c>
      <c r="J69" s="1240">
        <f>H69*I69</f>
        <v>494.51183679999991</v>
      </c>
      <c r="K69" s="1442"/>
      <c r="L69" s="1213"/>
      <c r="M69" s="1214"/>
      <c r="N69" s="1216"/>
      <c r="O69" s="1381">
        <f>(H69/3)*0.5</f>
        <v>5</v>
      </c>
      <c r="P69" s="1443">
        <f>Labor!I107</f>
        <v>8.4749230769230781</v>
      </c>
      <c r="Q69" s="1216">
        <f>$O69*$P69</f>
        <v>42.374615384615389</v>
      </c>
      <c r="R69" s="1217">
        <f t="shared" si="2"/>
        <v>536.88645218461534</v>
      </c>
      <c r="S69" s="1221"/>
    </row>
    <row r="70" spans="1:19" ht="13.5" thickBot="1">
      <c r="A70" s="1218"/>
      <c r="B70" s="1444">
        <v>349</v>
      </c>
      <c r="C70" s="816" t="s">
        <v>136</v>
      </c>
      <c r="D70" s="816"/>
      <c r="E70" s="816"/>
      <c r="F70" s="816"/>
      <c r="G70" s="809"/>
      <c r="H70" s="1446"/>
      <c r="I70" s="1441"/>
      <c r="J70" s="1447"/>
      <c r="K70" s="1442">
        <f>K51</f>
        <v>75</v>
      </c>
      <c r="L70" s="1213" t="s">
        <v>130</v>
      </c>
      <c r="M70" s="1453">
        <f>M51</f>
        <v>2</v>
      </c>
      <c r="N70" s="1216">
        <f>K70*M70</f>
        <v>150</v>
      </c>
      <c r="O70" s="1381"/>
      <c r="P70" s="1443"/>
      <c r="Q70" s="1447"/>
      <c r="R70" s="1217">
        <f>N70</f>
        <v>150</v>
      </c>
      <c r="S70" s="1188"/>
    </row>
    <row r="71" spans="1:19" ht="13.5" thickBot="1">
      <c r="A71" s="1189" t="s">
        <v>29</v>
      </c>
      <c r="B71" s="1190"/>
      <c r="C71" s="1110"/>
      <c r="D71" s="1110"/>
      <c r="E71" s="1110"/>
      <c r="F71" s="1110"/>
      <c r="G71" s="1369"/>
      <c r="H71" s="1191">
        <f>SUM(H$54:H$70)</f>
        <v>35.167999999999999</v>
      </c>
      <c r="I71" s="1198"/>
      <c r="J71" s="1197">
        <f>SUM(J$54:J$70)</f>
        <v>580.80689820655277</v>
      </c>
      <c r="K71" s="1454"/>
      <c r="L71" s="1337"/>
      <c r="M71" s="1229"/>
      <c r="N71" s="1197">
        <f>SUM(N$54:N$70)</f>
        <v>428.11584865497264</v>
      </c>
      <c r="O71" s="1455">
        <f>SUM(O$54:O$70)</f>
        <v>8.6015999999999995</v>
      </c>
      <c r="P71" s="1466"/>
      <c r="Q71" s="1197">
        <f>SUM(Q$54:Q$70)</f>
        <v>72.762944492307696</v>
      </c>
      <c r="R71" s="1198">
        <f>SUM(R$54:R$70)</f>
        <v>1081.6856913538331</v>
      </c>
      <c r="S71" s="1199">
        <f>J71+N71+Q71</f>
        <v>1081.6856913538331</v>
      </c>
    </row>
    <row r="72" spans="1:19" ht="13.5" thickBot="1">
      <c r="A72" s="1168" t="s">
        <v>105</v>
      </c>
      <c r="B72" s="1467"/>
      <c r="C72" s="1431"/>
      <c r="D72" s="1431"/>
      <c r="E72" s="1431"/>
      <c r="F72" s="1431"/>
      <c r="G72" s="1372"/>
      <c r="H72" s="1226"/>
      <c r="I72" s="1228"/>
      <c r="J72" s="1456"/>
      <c r="K72" s="1266"/>
      <c r="L72" s="1204"/>
      <c r="M72" s="1205"/>
      <c r="N72" s="1227"/>
      <c r="O72" s="1457"/>
      <c r="P72" s="1458"/>
      <c r="Q72" s="1227"/>
      <c r="R72" s="1228"/>
      <c r="S72" s="1208" t="s">
        <v>105</v>
      </c>
    </row>
    <row r="73" spans="1:19">
      <c r="A73" s="1176"/>
      <c r="B73" s="1177">
        <v>301</v>
      </c>
      <c r="C73" s="816" t="s">
        <v>24</v>
      </c>
      <c r="D73" s="816"/>
      <c r="E73" s="816"/>
      <c r="F73" s="816"/>
      <c r="G73" s="814" t="s">
        <v>25</v>
      </c>
      <c r="H73" s="1209"/>
      <c r="I73" s="1441"/>
      <c r="J73" s="1240"/>
      <c r="K73" s="1442">
        <f>Materials!F71</f>
        <v>6</v>
      </c>
      <c r="L73" s="1213" t="s">
        <v>300</v>
      </c>
      <c r="M73" s="1214">
        <v>1</v>
      </c>
      <c r="N73" s="1216">
        <f>K73*M73</f>
        <v>6</v>
      </c>
      <c r="O73" s="1381"/>
      <c r="P73" s="1443"/>
      <c r="Q73" s="1216"/>
      <c r="R73" s="1217">
        <f t="shared" ref="R73:R83" si="3">$Q73+$N73+$J73</f>
        <v>6</v>
      </c>
      <c r="S73" s="1188"/>
    </row>
    <row r="74" spans="1:19">
      <c r="A74" s="1475"/>
      <c r="B74" s="1219">
        <v>309</v>
      </c>
      <c r="C74" s="816" t="s">
        <v>100</v>
      </c>
      <c r="D74" s="816"/>
      <c r="E74" s="816"/>
      <c r="F74" s="816"/>
      <c r="G74" s="814" t="s">
        <v>236</v>
      </c>
      <c r="H74" s="1406">
        <v>0.5</v>
      </c>
      <c r="I74" s="1324">
        <f>Machinery!U5+Machinery!U9</f>
        <v>14.78363566577778</v>
      </c>
      <c r="J74" s="1325">
        <f>H74*I74</f>
        <v>7.3918178328888899</v>
      </c>
      <c r="K74" s="1357"/>
      <c r="L74" s="1213"/>
      <c r="M74" s="1354"/>
      <c r="N74" s="1325"/>
      <c r="O74" s="1381">
        <f>H74*1.2</f>
        <v>0.6</v>
      </c>
      <c r="P74" s="1443">
        <f>Labor!I107</f>
        <v>8.4749230769230781</v>
      </c>
      <c r="Q74" s="1355">
        <f>O74*8.25</f>
        <v>4.95</v>
      </c>
      <c r="R74" s="1217">
        <f t="shared" si="3"/>
        <v>12.341817832888889</v>
      </c>
      <c r="S74" s="1188"/>
    </row>
    <row r="75" spans="1:19">
      <c r="A75" s="1218"/>
      <c r="B75" s="1219">
        <v>347</v>
      </c>
      <c r="C75" s="816" t="s">
        <v>135</v>
      </c>
      <c r="D75" s="816"/>
      <c r="E75" s="816"/>
      <c r="F75" s="816"/>
      <c r="G75" s="814"/>
      <c r="H75" s="1209"/>
      <c r="I75" s="1441"/>
      <c r="J75" s="1240"/>
      <c r="K75" s="1442"/>
      <c r="L75" s="1213"/>
      <c r="M75" s="1214"/>
      <c r="N75" s="1216"/>
      <c r="O75" s="1511">
        <v>0.5</v>
      </c>
      <c r="P75" s="1443">
        <f>Labor!I107</f>
        <v>8.4749230769230781</v>
      </c>
      <c r="Q75" s="1216">
        <f>O75*P75</f>
        <v>4.2374615384615391</v>
      </c>
      <c r="R75" s="1217">
        <f t="shared" si="3"/>
        <v>4.2374615384615391</v>
      </c>
      <c r="S75" s="1221"/>
    </row>
    <row r="76" spans="1:19">
      <c r="A76" s="1218"/>
      <c r="B76" s="1444">
        <v>349</v>
      </c>
      <c r="C76" s="816" t="s">
        <v>136</v>
      </c>
      <c r="D76" s="816"/>
      <c r="E76" s="816"/>
      <c r="F76" s="816"/>
      <c r="G76" s="809"/>
      <c r="H76" s="1446"/>
      <c r="I76" s="1441"/>
      <c r="J76" s="1447"/>
      <c r="K76" s="1442">
        <f>K70</f>
        <v>75</v>
      </c>
      <c r="L76" s="1213" t="s">
        <v>130</v>
      </c>
      <c r="M76" s="1214">
        <v>2</v>
      </c>
      <c r="N76" s="1216">
        <f>K76*M76</f>
        <v>150</v>
      </c>
      <c r="O76" s="1381"/>
      <c r="P76" s="1443" t="s">
        <v>7</v>
      </c>
      <c r="Q76" s="1447"/>
      <c r="R76" s="1217">
        <f t="shared" si="3"/>
        <v>150</v>
      </c>
      <c r="S76" s="1188"/>
    </row>
    <row r="77" spans="1:19">
      <c r="A77" s="1218"/>
      <c r="B77" s="1219">
        <v>350</v>
      </c>
      <c r="C77" s="1664" t="s">
        <v>316</v>
      </c>
      <c r="D77" s="1665"/>
      <c r="E77" s="816"/>
      <c r="F77" s="816"/>
      <c r="G77" s="814" t="s">
        <v>235</v>
      </c>
      <c r="H77" s="1272">
        <v>0.41699999999999998</v>
      </c>
      <c r="I77" s="1441">
        <f>Machinery!U5+Machinery!U8</f>
        <v>17.657110248000002</v>
      </c>
      <c r="J77" s="1325">
        <f>H77*I77</f>
        <v>7.3630149734160009</v>
      </c>
      <c r="K77" s="1442"/>
      <c r="L77" s="1213"/>
      <c r="M77" s="1214"/>
      <c r="N77" s="1216"/>
      <c r="O77" s="1381">
        <f>H77*1.2</f>
        <v>0.50039999999999996</v>
      </c>
      <c r="P77" s="1443">
        <f>Labor!I107</f>
        <v>8.4749230769230781</v>
      </c>
      <c r="Q77" s="1216">
        <f>$O77*$P77</f>
        <v>4.2408515076923079</v>
      </c>
      <c r="R77" s="1440">
        <f t="shared" si="3"/>
        <v>11.603866481108309</v>
      </c>
      <c r="S77" s="1188"/>
    </row>
    <row r="78" spans="1:19">
      <c r="A78" s="1218"/>
      <c r="B78" s="1219"/>
      <c r="C78" s="816"/>
      <c r="D78" s="816" t="s">
        <v>133</v>
      </c>
      <c r="E78" s="816"/>
      <c r="F78" s="816"/>
      <c r="G78" s="814"/>
      <c r="H78" s="1209"/>
      <c r="I78" s="1441"/>
      <c r="J78" s="1325"/>
      <c r="K78" s="1442">
        <f>Materials!D36</f>
        <v>40</v>
      </c>
      <c r="L78" s="1472" t="str">
        <f>Materials!C36</f>
        <v>lbs</v>
      </c>
      <c r="M78" s="1214">
        <f>Materials!B36</f>
        <v>1.5</v>
      </c>
      <c r="N78" s="1216">
        <f>K78*M78</f>
        <v>60</v>
      </c>
      <c r="O78" s="1381"/>
      <c r="P78" s="1443"/>
      <c r="Q78" s="1216"/>
      <c r="R78" s="1440">
        <f t="shared" si="3"/>
        <v>60</v>
      </c>
      <c r="S78" s="1188"/>
    </row>
    <row r="79" spans="1:19">
      <c r="A79" s="1218"/>
      <c r="B79" s="1219"/>
      <c r="C79" s="1664" t="s">
        <v>316</v>
      </c>
      <c r="D79" s="1665"/>
      <c r="E79" s="816"/>
      <c r="F79" s="816"/>
      <c r="G79" s="814" t="s">
        <v>235</v>
      </c>
      <c r="H79" s="1272">
        <v>0.41699999999999998</v>
      </c>
      <c r="I79" s="1441">
        <f>Machinery!U5+Machinery!U8</f>
        <v>17.657110248000002</v>
      </c>
      <c r="J79" s="1325">
        <f>H79*I79</f>
        <v>7.3630149734160009</v>
      </c>
      <c r="K79" s="1442"/>
      <c r="L79" s="1213"/>
      <c r="M79" s="1214"/>
      <c r="N79" s="1216"/>
      <c r="O79" s="1381">
        <f>H79*1.2</f>
        <v>0.50039999999999996</v>
      </c>
      <c r="P79" s="1443">
        <f>Labor!I107</f>
        <v>8.4749230769230781</v>
      </c>
      <c r="Q79" s="1216">
        <f>$O79*$P79</f>
        <v>4.2408515076923079</v>
      </c>
      <c r="R79" s="1440">
        <f t="shared" si="3"/>
        <v>11.603866481108309</v>
      </c>
      <c r="S79" s="1188"/>
    </row>
    <row r="80" spans="1:19">
      <c r="A80" s="1218"/>
      <c r="B80" s="1219"/>
      <c r="C80" s="816"/>
      <c r="D80" s="764" t="s">
        <v>294</v>
      </c>
      <c r="E80" s="816"/>
      <c r="F80" s="816"/>
      <c r="G80" s="814"/>
      <c r="H80" s="1209"/>
      <c r="I80" s="1441"/>
      <c r="J80" s="1325"/>
      <c r="K80" s="1442">
        <f>Materials!D35</f>
        <v>3.5</v>
      </c>
      <c r="L80" s="1472" t="str">
        <f>Materials!C35</f>
        <v>oz</v>
      </c>
      <c r="M80" s="1214">
        <f>Materials!B35</f>
        <v>20</v>
      </c>
      <c r="N80" s="1216">
        <f>K80*M80</f>
        <v>70</v>
      </c>
      <c r="O80" s="1381"/>
      <c r="P80" s="1443"/>
      <c r="Q80" s="1216"/>
      <c r="R80" s="1440">
        <f t="shared" si="3"/>
        <v>70</v>
      </c>
      <c r="S80" s="1188"/>
    </row>
    <row r="81" spans="1:19">
      <c r="A81" s="1218"/>
      <c r="B81" s="1219"/>
      <c r="C81" s="1664" t="s">
        <v>318</v>
      </c>
      <c r="D81" s="1665"/>
      <c r="E81" s="1665"/>
      <c r="F81" s="816"/>
      <c r="G81" s="814" t="s">
        <v>235</v>
      </c>
      <c r="H81" s="1272">
        <v>0.41699999999999998</v>
      </c>
      <c r="I81" s="1441">
        <f>Machinery!U5+Machinery!U8</f>
        <v>17.657110248000002</v>
      </c>
      <c r="J81" s="1325">
        <f>H81*I81</f>
        <v>7.3630149734160009</v>
      </c>
      <c r="K81" s="1442"/>
      <c r="L81" s="1213"/>
      <c r="M81" s="1214"/>
      <c r="N81" s="1216"/>
      <c r="O81" s="1381">
        <f>H81*1.2</f>
        <v>0.50039999999999996</v>
      </c>
      <c r="P81" s="1443">
        <f>Labor!I107</f>
        <v>8.4749230769230781</v>
      </c>
      <c r="Q81" s="1216">
        <f>$O81*$P81</f>
        <v>4.2408515076923079</v>
      </c>
      <c r="R81" s="1440">
        <f t="shared" si="3"/>
        <v>11.603866481108309</v>
      </c>
      <c r="S81" s="1188"/>
    </row>
    <row r="82" spans="1:19">
      <c r="A82" s="1218"/>
      <c r="B82" s="1219"/>
      <c r="C82" s="816"/>
      <c r="D82" s="816" t="s">
        <v>137</v>
      </c>
      <c r="E82" s="816"/>
      <c r="F82" s="816"/>
      <c r="G82" s="814"/>
      <c r="H82" s="1209"/>
      <c r="I82" s="1441"/>
      <c r="J82" s="1325"/>
      <c r="K82" s="1442">
        <f>Materials!D38</f>
        <v>6</v>
      </c>
      <c r="L82" s="1472" t="str">
        <f>Materials!C38</f>
        <v>oz</v>
      </c>
      <c r="M82" s="1214">
        <f>Materials!B38</f>
        <v>2.5</v>
      </c>
      <c r="N82" s="1216">
        <f>K82*M82</f>
        <v>15</v>
      </c>
      <c r="O82" s="1381"/>
      <c r="P82" s="1443"/>
      <c r="Q82" s="1216"/>
      <c r="R82" s="1440">
        <f t="shared" si="3"/>
        <v>15</v>
      </c>
      <c r="S82" s="1188"/>
    </row>
    <row r="83" spans="1:19">
      <c r="A83" s="1218"/>
      <c r="B83" s="1219"/>
      <c r="C83" s="816"/>
      <c r="D83" s="816" t="s">
        <v>299</v>
      </c>
      <c r="E83" s="816"/>
      <c r="F83" s="816"/>
      <c r="G83" s="814"/>
      <c r="H83" s="1209"/>
      <c r="I83" s="1441"/>
      <c r="J83" s="1325"/>
      <c r="K83" s="1442">
        <f>Materials!D25</f>
        <v>13.98</v>
      </c>
      <c r="L83" s="1472" t="str">
        <f>Materials!C25</f>
        <v>lbs</v>
      </c>
      <c r="M83" s="1214">
        <f>Materials!B25</f>
        <v>2</v>
      </c>
      <c r="N83" s="1216">
        <f>K83*M83</f>
        <v>27.96</v>
      </c>
      <c r="O83" s="1381"/>
      <c r="P83" s="1443"/>
      <c r="Q83" s="1216"/>
      <c r="R83" s="1440">
        <f t="shared" si="3"/>
        <v>27.96</v>
      </c>
      <c r="S83" s="1188"/>
    </row>
    <row r="84" spans="1:19">
      <c r="A84" s="1475"/>
      <c r="B84" s="1219">
        <v>337</v>
      </c>
      <c r="C84" s="816" t="s">
        <v>106</v>
      </c>
      <c r="D84" s="816"/>
      <c r="E84" s="816"/>
      <c r="F84" s="816"/>
      <c r="G84" s="814" t="s">
        <v>92</v>
      </c>
      <c r="H84" s="1272">
        <v>24</v>
      </c>
      <c r="I84" s="1462">
        <f>I69</f>
        <v>16.483727893333331</v>
      </c>
      <c r="J84" s="1240">
        <f>H84*I84</f>
        <v>395.60946943999994</v>
      </c>
      <c r="K84" s="1442"/>
      <c r="L84" s="1213"/>
      <c r="M84" s="1214"/>
      <c r="N84" s="1216"/>
      <c r="O84" s="1381">
        <f>(H84/3)*0.5</f>
        <v>4</v>
      </c>
      <c r="P84" s="1443">
        <f>Labor!I107</f>
        <v>8.4749230769230781</v>
      </c>
      <c r="Q84" s="1465">
        <f>O84*P84</f>
        <v>33.899692307692312</v>
      </c>
      <c r="R84" s="1515">
        <f>J84+N84+Q84</f>
        <v>429.50916174769225</v>
      </c>
      <c r="S84" s="1188"/>
    </row>
    <row r="85" spans="1:19">
      <c r="A85" s="1475"/>
      <c r="B85" s="1219"/>
      <c r="C85" s="816" t="s">
        <v>651</v>
      </c>
      <c r="D85" s="816"/>
      <c r="E85" s="816"/>
      <c r="F85" s="816"/>
      <c r="G85" s="814"/>
      <c r="H85" s="1209"/>
      <c r="I85" s="1462"/>
      <c r="J85" s="1240"/>
      <c r="K85" s="1442">
        <f>Materials!E86</f>
        <v>195.5</v>
      </c>
      <c r="L85" s="1213" t="s">
        <v>575</v>
      </c>
      <c r="M85" s="1214">
        <v>1</v>
      </c>
      <c r="N85" s="1216">
        <f>K85*M85</f>
        <v>195.5</v>
      </c>
      <c r="O85" s="1381"/>
      <c r="P85" s="1443"/>
      <c r="Q85" s="1465"/>
      <c r="R85" s="1515">
        <f>J85+N85+Q85</f>
        <v>195.5</v>
      </c>
      <c r="S85" s="1188"/>
    </row>
    <row r="86" spans="1:19">
      <c r="A86" s="1218"/>
      <c r="B86" s="1219">
        <v>352</v>
      </c>
      <c r="C86" s="816" t="s">
        <v>345</v>
      </c>
      <c r="D86" s="816"/>
      <c r="E86" s="816"/>
      <c r="F86" s="816"/>
      <c r="G86" s="814" t="s">
        <v>400</v>
      </c>
      <c r="H86" s="1209"/>
      <c r="I86" s="1441"/>
      <c r="J86" s="1240"/>
      <c r="K86" s="1442"/>
      <c r="L86" s="1213" t="s">
        <v>405</v>
      </c>
      <c r="M86" s="1450">
        <f>M12/3</f>
        <v>844.44444444444446</v>
      </c>
      <c r="N86" s="1216"/>
      <c r="O86" s="1446"/>
      <c r="P86" s="1462">
        <f>Materials!D94</f>
        <v>3.5</v>
      </c>
      <c r="Q86" s="1216">
        <f>(M86*P86)</f>
        <v>2955.5555555555557</v>
      </c>
      <c r="R86" s="1440">
        <f t="shared" ref="R86:R92" si="4">$Q86+$N86+$J86</f>
        <v>2955.5555555555557</v>
      </c>
      <c r="S86" s="1188"/>
    </row>
    <row r="87" spans="1:19">
      <c r="A87" s="1218"/>
      <c r="B87" s="1219"/>
      <c r="C87" s="816"/>
      <c r="D87" s="816"/>
      <c r="E87" s="816"/>
      <c r="F87" s="816"/>
      <c r="G87" s="814" t="s">
        <v>404</v>
      </c>
      <c r="H87" s="1209"/>
      <c r="I87" s="1441"/>
      <c r="J87" s="1240"/>
      <c r="K87" s="1442"/>
      <c r="L87" s="1213" t="s">
        <v>405</v>
      </c>
      <c r="M87" s="1450">
        <f>M12/3</f>
        <v>844.44444444444446</v>
      </c>
      <c r="N87" s="1216"/>
      <c r="O87" s="1446"/>
      <c r="P87" s="1462">
        <f>Materials!D97</f>
        <v>0.5</v>
      </c>
      <c r="Q87" s="1216">
        <f>(M87*P87)</f>
        <v>422.22222222222223</v>
      </c>
      <c r="R87" s="1440">
        <f t="shared" si="4"/>
        <v>422.22222222222223</v>
      </c>
      <c r="S87" s="1188"/>
    </row>
    <row r="88" spans="1:19">
      <c r="A88" s="1218"/>
      <c r="B88" s="1219"/>
      <c r="C88" s="816"/>
      <c r="D88" s="816"/>
      <c r="E88" s="816"/>
      <c r="F88" s="816"/>
      <c r="G88" s="814" t="s">
        <v>350</v>
      </c>
      <c r="H88" s="1209">
        <f>143/10</f>
        <v>14.3</v>
      </c>
      <c r="I88" s="1441">
        <f>Machinery!U20</f>
        <v>2.0387642166547622</v>
      </c>
      <c r="J88" s="1325">
        <f>H88*I88</f>
        <v>29.154328298163101</v>
      </c>
      <c r="K88" s="1442"/>
      <c r="L88" s="1213"/>
      <c r="M88" s="1214"/>
      <c r="N88" s="1216"/>
      <c r="O88" s="1381">
        <f>H88*1.2</f>
        <v>17.16</v>
      </c>
      <c r="P88" s="1443">
        <f>Materials!B73</f>
        <v>7</v>
      </c>
      <c r="Q88" s="1216">
        <f>O88*P88</f>
        <v>120.12</v>
      </c>
      <c r="R88" s="1440">
        <f t="shared" si="4"/>
        <v>149.27432829816311</v>
      </c>
      <c r="S88" s="1188"/>
    </row>
    <row r="89" spans="1:19">
      <c r="A89" s="1218"/>
      <c r="B89" s="1219"/>
      <c r="C89" s="816"/>
      <c r="D89" s="816"/>
      <c r="E89" s="816"/>
      <c r="F89" s="816"/>
      <c r="G89" s="814" t="s">
        <v>403</v>
      </c>
      <c r="H89" s="1209"/>
      <c r="I89" s="1441"/>
      <c r="J89" s="1240"/>
      <c r="K89" s="1442"/>
      <c r="L89" s="1213" t="s">
        <v>405</v>
      </c>
      <c r="M89" s="1450">
        <f>M12/3</f>
        <v>844.44444444444446</v>
      </c>
      <c r="N89" s="1476"/>
      <c r="O89" s="1381" t="s">
        <v>7</v>
      </c>
      <c r="P89" s="1462">
        <f>Materials!D96</f>
        <v>0.25</v>
      </c>
      <c r="Q89" s="1216">
        <f>(M89*P89)</f>
        <v>211.11111111111111</v>
      </c>
      <c r="R89" s="1440">
        <f t="shared" si="4"/>
        <v>211.11111111111111</v>
      </c>
      <c r="S89" s="1188"/>
    </row>
    <row r="90" spans="1:19">
      <c r="A90" s="1468"/>
      <c r="B90" s="1219"/>
      <c r="C90" s="1666" t="s">
        <v>384</v>
      </c>
      <c r="D90" s="1667"/>
      <c r="E90" s="801"/>
      <c r="F90" s="801"/>
      <c r="G90" s="814" t="s">
        <v>338</v>
      </c>
      <c r="H90" s="1406">
        <v>720</v>
      </c>
      <c r="I90" s="1324">
        <f>Machinery!U14</f>
        <v>4.1369271180555556</v>
      </c>
      <c r="J90" s="1325">
        <f>(H90*I90)/10</f>
        <v>297.85875249999998</v>
      </c>
      <c r="K90" s="1348"/>
      <c r="L90" s="1213"/>
      <c r="M90" s="1349"/>
      <c r="N90" s="1325"/>
      <c r="O90" s="1365"/>
      <c r="P90" s="1220"/>
      <c r="Q90" s="1325"/>
      <c r="R90" s="1440">
        <f t="shared" si="4"/>
        <v>297.85875249999998</v>
      </c>
      <c r="S90" s="1188"/>
    </row>
    <row r="91" spans="1:19">
      <c r="A91" s="1468"/>
      <c r="B91" s="1219"/>
      <c r="C91" s="1666" t="s">
        <v>383</v>
      </c>
      <c r="D91" s="1667"/>
      <c r="E91" s="801"/>
      <c r="F91" s="801"/>
      <c r="G91" s="814" t="s">
        <v>340</v>
      </c>
      <c r="H91" s="1406">
        <v>260</v>
      </c>
      <c r="I91" s="1324">
        <f>Machinery!U16</f>
        <v>2.1839812101910834</v>
      </c>
      <c r="J91" s="1325">
        <f>(H91*I91)/10</f>
        <v>56.783511464968171</v>
      </c>
      <c r="K91" s="1348"/>
      <c r="L91" s="1213"/>
      <c r="M91" s="1349"/>
      <c r="N91" s="1325"/>
      <c r="O91" s="1365"/>
      <c r="P91" s="1220"/>
      <c r="Q91" s="1325"/>
      <c r="R91" s="1440">
        <f t="shared" si="4"/>
        <v>56.783511464968171</v>
      </c>
      <c r="S91" s="1188"/>
    </row>
    <row r="92" spans="1:19">
      <c r="A92" s="1475"/>
      <c r="B92" s="1219"/>
      <c r="C92" s="1666" t="s">
        <v>309</v>
      </c>
      <c r="D92" s="1667"/>
      <c r="E92" s="801"/>
      <c r="F92" s="801"/>
      <c r="G92" s="809" t="s">
        <v>351</v>
      </c>
      <c r="H92" s="1406">
        <v>400</v>
      </c>
      <c r="I92" s="1324">
        <f>Machinery!U24</f>
        <v>0.57239501999999998</v>
      </c>
      <c r="J92" s="1325">
        <f>((H92*I92)+(Machinery!U21*32))/10</f>
        <v>28.446334133333334</v>
      </c>
      <c r="K92" s="1348"/>
      <c r="L92" s="1213"/>
      <c r="M92" s="1349"/>
      <c r="N92" s="1325"/>
      <c r="O92" s="1365">
        <f>(H92/100)*4</f>
        <v>16</v>
      </c>
      <c r="P92" s="1443">
        <f>Labor!I107</f>
        <v>8.4749230769230781</v>
      </c>
      <c r="Q92" s="1325">
        <f>(O92*P92)/10</f>
        <v>13.559876923076924</v>
      </c>
      <c r="R92" s="1440">
        <f t="shared" si="4"/>
        <v>42.006211056410258</v>
      </c>
      <c r="S92" s="1188"/>
    </row>
    <row r="93" spans="1:19" ht="13.5" thickBot="1">
      <c r="A93" s="1468"/>
      <c r="B93" s="1219">
        <v>309</v>
      </c>
      <c r="C93" s="816" t="s">
        <v>100</v>
      </c>
      <c r="D93" s="816"/>
      <c r="E93" s="816"/>
      <c r="F93" s="816"/>
      <c r="G93" s="814" t="s">
        <v>236</v>
      </c>
      <c r="H93" s="1406">
        <v>0.5</v>
      </c>
      <c r="I93" s="1324">
        <f>Machinery!U5+Machinery!U9</f>
        <v>14.78363566577778</v>
      </c>
      <c r="J93" s="1325">
        <f>H93*I93</f>
        <v>7.3918178328888899</v>
      </c>
      <c r="K93" s="1357"/>
      <c r="L93" s="1213"/>
      <c r="M93" s="1354"/>
      <c r="N93" s="1325"/>
      <c r="O93" s="1365">
        <f>H93*1.2</f>
        <v>0.6</v>
      </c>
      <c r="P93" s="1443">
        <f>Labor!I107</f>
        <v>8.4749230769230781</v>
      </c>
      <c r="Q93" s="1355">
        <f>O93*8.25</f>
        <v>4.95</v>
      </c>
      <c r="R93" s="1187">
        <f>J93+Q93</f>
        <v>12.341817832888889</v>
      </c>
      <c r="S93" s="1188"/>
    </row>
    <row r="94" spans="1:19" ht="13.5" thickBot="1">
      <c r="A94" s="1189" t="s">
        <v>107</v>
      </c>
      <c r="B94" s="1190"/>
      <c r="C94" s="1110"/>
      <c r="D94" s="1110"/>
      <c r="E94" s="1110"/>
      <c r="F94" s="1110"/>
      <c r="G94" s="1369"/>
      <c r="H94" s="1191">
        <f>SUM(H$73:H$93)</f>
        <v>1420.5509999999999</v>
      </c>
      <c r="I94" s="1198"/>
      <c r="J94" s="1197">
        <f>SUM(J$73:J$93)</f>
        <v>844.72507642249025</v>
      </c>
      <c r="K94" s="1454"/>
      <c r="L94" s="1337"/>
      <c r="M94" s="1229"/>
      <c r="N94" s="1474">
        <f>SUM(N$73:N$93)</f>
        <v>524.46</v>
      </c>
      <c r="O94" s="1455">
        <f>SUM(O$73:O$93)</f>
        <v>40.361200000000004</v>
      </c>
      <c r="P94" s="1466"/>
      <c r="Q94" s="1197">
        <f>SUM(Q$73:Q$93)</f>
        <v>3783.3284741811967</v>
      </c>
      <c r="R94" s="1198">
        <f>SUM(R$73:R$93)</f>
        <v>5152.5135506036877</v>
      </c>
      <c r="S94" s="1199">
        <f>J94+N94+Q94</f>
        <v>5152.5135506036868</v>
      </c>
    </row>
    <row r="95" spans="1:19" ht="13.5" thickBot="1">
      <c r="A95" s="1168" t="s">
        <v>108</v>
      </c>
      <c r="B95" s="1467"/>
      <c r="C95" s="1431"/>
      <c r="D95" s="1431"/>
      <c r="E95" s="1431"/>
      <c r="F95" s="1431"/>
      <c r="G95" s="1372"/>
      <c r="H95" s="1226"/>
      <c r="I95" s="1228"/>
      <c r="J95" s="1456"/>
      <c r="K95" s="1266"/>
      <c r="L95" s="1204"/>
      <c r="M95" s="1205"/>
      <c r="N95" s="1227"/>
      <c r="O95" s="1457"/>
      <c r="P95" s="1458"/>
      <c r="Q95" s="1227"/>
      <c r="R95" s="1228"/>
      <c r="S95" s="1208" t="s">
        <v>108</v>
      </c>
    </row>
    <row r="96" spans="1:19">
      <c r="A96" s="1176"/>
      <c r="B96" s="1177">
        <v>301</v>
      </c>
      <c r="C96" s="1477" t="s">
        <v>24</v>
      </c>
      <c r="D96" s="1477"/>
      <c r="E96" s="1477"/>
      <c r="F96" s="1477"/>
      <c r="G96" s="1478" t="s">
        <v>25</v>
      </c>
      <c r="H96" s="1179"/>
      <c r="I96" s="1434"/>
      <c r="J96" s="1435"/>
      <c r="K96" s="1442">
        <f>Materials!F71</f>
        <v>6</v>
      </c>
      <c r="L96" s="1327" t="s">
        <v>300</v>
      </c>
      <c r="M96" s="1437">
        <v>1</v>
      </c>
      <c r="N96" s="1216">
        <f>K96*M96</f>
        <v>6</v>
      </c>
      <c r="O96" s="1479"/>
      <c r="P96" s="1439"/>
      <c r="Q96" s="1438"/>
      <c r="R96" s="1516">
        <f t="shared" ref="R96:R106" si="5">$Q96+$N96+$J96</f>
        <v>6</v>
      </c>
      <c r="S96" s="1481"/>
    </row>
    <row r="97" spans="1:19">
      <c r="A97" s="1475"/>
      <c r="B97" s="1219">
        <v>337</v>
      </c>
      <c r="C97" s="816" t="s">
        <v>106</v>
      </c>
      <c r="D97" s="816"/>
      <c r="E97" s="816"/>
      <c r="F97" s="816"/>
      <c r="G97" s="814" t="s">
        <v>92</v>
      </c>
      <c r="H97" s="1272">
        <v>30</v>
      </c>
      <c r="I97" s="1462">
        <f>I84</f>
        <v>16.483727893333331</v>
      </c>
      <c r="J97" s="1240">
        <f>$H97*$I97</f>
        <v>494.51183679999991</v>
      </c>
      <c r="K97" s="1442"/>
      <c r="L97" s="1213"/>
      <c r="M97" s="1214"/>
      <c r="N97" s="1216"/>
      <c r="O97" s="1381">
        <f>(H97/3)*0.5</f>
        <v>5</v>
      </c>
      <c r="P97" s="1443">
        <f>Labor!I107</f>
        <v>8.4749230769230781</v>
      </c>
      <c r="Q97" s="1216">
        <f>$P97*$O97</f>
        <v>42.374615384615389</v>
      </c>
      <c r="R97" s="1217">
        <f t="shared" si="5"/>
        <v>536.88645218461534</v>
      </c>
      <c r="S97" s="1188"/>
    </row>
    <row r="98" spans="1:19">
      <c r="A98" s="1475"/>
      <c r="B98" s="1219">
        <v>355</v>
      </c>
      <c r="C98" s="816" t="s">
        <v>138</v>
      </c>
      <c r="D98" s="816"/>
      <c r="E98" s="816"/>
      <c r="F98" s="816"/>
      <c r="G98" s="814" t="s">
        <v>102</v>
      </c>
      <c r="H98" s="1209"/>
      <c r="I98" s="1441"/>
      <c r="J98" s="1240"/>
      <c r="K98" s="1442">
        <f>Materials!D72</f>
        <v>5</v>
      </c>
      <c r="L98" s="1213" t="s">
        <v>286</v>
      </c>
      <c r="M98" s="1214">
        <v>1</v>
      </c>
      <c r="N98" s="1216">
        <f>+M98*K98</f>
        <v>5</v>
      </c>
      <c r="O98" s="1381"/>
      <c r="P98" s="1443"/>
      <c r="Q98" s="1216"/>
      <c r="R98" s="1217">
        <f t="shared" si="5"/>
        <v>5</v>
      </c>
      <c r="S98" s="1188"/>
    </row>
    <row r="99" spans="1:19">
      <c r="A99" s="1475"/>
      <c r="B99" s="1219">
        <v>356</v>
      </c>
      <c r="C99" s="816" t="s">
        <v>139</v>
      </c>
      <c r="D99" s="816"/>
      <c r="E99" s="816"/>
      <c r="F99" s="816"/>
      <c r="G99" s="814" t="s">
        <v>122</v>
      </c>
      <c r="H99" s="1272">
        <v>8</v>
      </c>
      <c r="I99" s="1441">
        <f>Machinery!U7</f>
        <v>0.34666666666666662</v>
      </c>
      <c r="J99" s="1240">
        <f>H99*I99</f>
        <v>2.773333333333333</v>
      </c>
      <c r="K99" s="1442">
        <v>0</v>
      </c>
      <c r="L99" s="1213" t="s">
        <v>286</v>
      </c>
      <c r="M99" s="1214">
        <v>1</v>
      </c>
      <c r="N99" s="1216">
        <f>+M99*K99</f>
        <v>0</v>
      </c>
      <c r="O99" s="1511">
        <v>8</v>
      </c>
      <c r="P99" s="1443">
        <f>Labor!I107</f>
        <v>8.4749230769230781</v>
      </c>
      <c r="Q99" s="1216">
        <f>$P99*$O99</f>
        <v>67.799384615384625</v>
      </c>
      <c r="R99" s="1217">
        <f t="shared" si="5"/>
        <v>70.572717948717951</v>
      </c>
      <c r="S99" s="1188"/>
    </row>
    <row r="100" spans="1:19">
      <c r="A100" s="1475"/>
      <c r="B100" s="1219">
        <v>309</v>
      </c>
      <c r="C100" s="816" t="s">
        <v>100</v>
      </c>
      <c r="D100" s="816"/>
      <c r="E100" s="816"/>
      <c r="F100" s="816"/>
      <c r="G100" s="814" t="s">
        <v>236</v>
      </c>
      <c r="H100" s="1272">
        <v>0.5</v>
      </c>
      <c r="I100" s="1324">
        <f>Machinery!U5+Machinery!U9</f>
        <v>14.78363566577778</v>
      </c>
      <c r="J100" s="1325">
        <f>H100*I100</f>
        <v>7.3918178328888899</v>
      </c>
      <c r="K100" s="1357"/>
      <c r="L100" s="1213"/>
      <c r="M100" s="1354"/>
      <c r="N100" s="1325"/>
      <c r="O100" s="1381">
        <f>$H100*1.2</f>
        <v>0.6</v>
      </c>
      <c r="P100" s="1443">
        <f>Labor!I107</f>
        <v>8.4749230769230781</v>
      </c>
      <c r="Q100" s="1216">
        <f>$P100*$O100</f>
        <v>5.084953846153847</v>
      </c>
      <c r="R100" s="1217">
        <f t="shared" si="5"/>
        <v>12.476771679042738</v>
      </c>
      <c r="S100" s="1188"/>
    </row>
    <row r="101" spans="1:19">
      <c r="A101" s="1468"/>
      <c r="B101" s="1444">
        <v>350</v>
      </c>
      <c r="C101" s="1664" t="s">
        <v>316</v>
      </c>
      <c r="D101" s="1665"/>
      <c r="E101" s="816"/>
      <c r="F101" s="816"/>
      <c r="G101" s="814" t="s">
        <v>235</v>
      </c>
      <c r="H101" s="1272">
        <v>0.41699999999999998</v>
      </c>
      <c r="I101" s="1441">
        <f>Machinery!U5+Machinery!U8</f>
        <v>17.657110248000002</v>
      </c>
      <c r="J101" s="1325">
        <f>H101*I101</f>
        <v>7.3630149734160009</v>
      </c>
      <c r="K101" s="1442"/>
      <c r="L101" s="1213"/>
      <c r="M101" s="1214"/>
      <c r="N101" s="1216"/>
      <c r="O101" s="1381">
        <f>H101*1.2</f>
        <v>0.50039999999999996</v>
      </c>
      <c r="P101" s="1443">
        <f>Labor!I107</f>
        <v>8.4749230769230781</v>
      </c>
      <c r="Q101" s="1216">
        <f>$O101*$P101</f>
        <v>4.2408515076923079</v>
      </c>
      <c r="R101" s="1440">
        <f t="shared" si="5"/>
        <v>11.603866481108309</v>
      </c>
      <c r="S101" s="1188"/>
    </row>
    <row r="102" spans="1:19">
      <c r="A102" s="1468"/>
      <c r="B102" s="1483"/>
      <c r="C102" s="809"/>
      <c r="D102" s="809" t="s">
        <v>292</v>
      </c>
      <c r="E102" s="816"/>
      <c r="F102" s="816"/>
      <c r="G102" s="814"/>
      <c r="H102" s="1209"/>
      <c r="I102" s="1441"/>
      <c r="J102" s="1325"/>
      <c r="K102" s="1442">
        <f>Materials!D37</f>
        <v>10</v>
      </c>
      <c r="L102" s="1472" t="str">
        <f>Materials!C37</f>
        <v>lbs</v>
      </c>
      <c r="M102" s="1214">
        <f>Materials!B37</f>
        <v>2</v>
      </c>
      <c r="N102" s="1216">
        <f>K102*M102</f>
        <v>20</v>
      </c>
      <c r="O102" s="1381"/>
      <c r="P102" s="1443"/>
      <c r="Q102" s="1216"/>
      <c r="R102" s="1440">
        <f t="shared" si="5"/>
        <v>20</v>
      </c>
      <c r="S102" s="1188"/>
    </row>
    <row r="103" spans="1:19">
      <c r="A103" s="1468"/>
      <c r="B103" s="1483"/>
      <c r="C103" s="1664" t="s">
        <v>316</v>
      </c>
      <c r="D103" s="1665"/>
      <c r="E103" s="816"/>
      <c r="F103" s="816"/>
      <c r="G103" s="814" t="s">
        <v>235</v>
      </c>
      <c r="H103" s="1272">
        <v>0.41699999999999998</v>
      </c>
      <c r="I103" s="1441">
        <f>Machinery!U5+Machinery!U8</f>
        <v>17.657110248000002</v>
      </c>
      <c r="J103" s="1325">
        <f>H103*I103</f>
        <v>7.3630149734160009</v>
      </c>
      <c r="K103" s="1442"/>
      <c r="L103" s="1213"/>
      <c r="M103" s="1214"/>
      <c r="N103" s="1216"/>
      <c r="O103" s="1381">
        <f>H103*1.2</f>
        <v>0.50039999999999996</v>
      </c>
      <c r="P103" s="1443">
        <f>Labor!I107</f>
        <v>8.4749230769230781</v>
      </c>
      <c r="Q103" s="1216">
        <f>$O103*$P103</f>
        <v>4.2408515076923079</v>
      </c>
      <c r="R103" s="1440">
        <f t="shared" si="5"/>
        <v>11.603866481108309</v>
      </c>
      <c r="S103" s="1188"/>
    </row>
    <row r="104" spans="1:19">
      <c r="A104" s="1468"/>
      <c r="B104" s="1483"/>
      <c r="C104" s="809"/>
      <c r="D104" s="809" t="s">
        <v>294</v>
      </c>
      <c r="E104" s="816"/>
      <c r="F104" s="816"/>
      <c r="G104" s="814"/>
      <c r="H104" s="1209"/>
      <c r="I104" s="1441"/>
      <c r="J104" s="1325"/>
      <c r="K104" s="1442">
        <f>Materials!D35</f>
        <v>3.5</v>
      </c>
      <c r="L104" s="1472" t="str">
        <f>Materials!C35</f>
        <v>oz</v>
      </c>
      <c r="M104" s="1214">
        <f>Materials!B35</f>
        <v>20</v>
      </c>
      <c r="N104" s="1216">
        <f>K104*M104</f>
        <v>70</v>
      </c>
      <c r="O104" s="1381"/>
      <c r="P104" s="1443"/>
      <c r="Q104" s="1216"/>
      <c r="R104" s="1440">
        <f t="shared" si="5"/>
        <v>70</v>
      </c>
      <c r="S104" s="1188"/>
    </row>
    <row r="105" spans="1:19">
      <c r="A105" s="1468"/>
      <c r="B105" s="1483"/>
      <c r="C105" s="1664" t="s">
        <v>315</v>
      </c>
      <c r="D105" s="1665"/>
      <c r="E105" s="816"/>
      <c r="F105" s="816"/>
      <c r="G105" s="814" t="s">
        <v>235</v>
      </c>
      <c r="H105" s="1272">
        <v>0.41699999999999998</v>
      </c>
      <c r="I105" s="1441">
        <f>Machinery!U5+Machinery!U8</f>
        <v>17.657110248000002</v>
      </c>
      <c r="J105" s="1325">
        <f>H105*I105</f>
        <v>7.3630149734160009</v>
      </c>
      <c r="K105" s="1442"/>
      <c r="L105" s="1213"/>
      <c r="M105" s="1214"/>
      <c r="N105" s="1216"/>
      <c r="O105" s="1381">
        <f>H105*1.2</f>
        <v>0.50039999999999996</v>
      </c>
      <c r="P105" s="1443">
        <f>Labor!I107</f>
        <v>8.4749230769230781</v>
      </c>
      <c r="Q105" s="1216">
        <f>$O105*$P105</f>
        <v>4.2408515076923079</v>
      </c>
      <c r="R105" s="1440">
        <f t="shared" si="5"/>
        <v>11.603866481108309</v>
      </c>
      <c r="S105" s="1188"/>
    </row>
    <row r="106" spans="1:19">
      <c r="A106" s="1468"/>
      <c r="B106" s="1483"/>
      <c r="C106" s="809"/>
      <c r="D106" s="809" t="s">
        <v>295</v>
      </c>
      <c r="E106" s="816"/>
      <c r="F106" s="816"/>
      <c r="G106" s="814"/>
      <c r="H106" s="1209"/>
      <c r="I106" s="1441"/>
      <c r="J106" s="1325"/>
      <c r="K106" s="1442">
        <f>Materials!D26</f>
        <v>0.51930810916211012</v>
      </c>
      <c r="L106" s="1472" t="str">
        <f>Materials!C26</f>
        <v>oz</v>
      </c>
      <c r="M106" s="1214">
        <f>Materials!B26</f>
        <v>6</v>
      </c>
      <c r="N106" s="1216">
        <f>K106*M106</f>
        <v>3.1158486549726607</v>
      </c>
      <c r="O106" s="1381"/>
      <c r="P106" s="1443"/>
      <c r="Q106" s="1216"/>
      <c r="R106" s="1440">
        <f t="shared" si="5"/>
        <v>3.1158486549726607</v>
      </c>
      <c r="S106" s="1188"/>
    </row>
    <row r="107" spans="1:19">
      <c r="A107" s="1218"/>
      <c r="B107" s="1219">
        <v>347</v>
      </c>
      <c r="C107" s="816" t="s">
        <v>135</v>
      </c>
      <c r="D107" s="816"/>
      <c r="E107" s="816"/>
      <c r="F107" s="816"/>
      <c r="G107" s="814"/>
      <c r="H107" s="1209"/>
      <c r="I107" s="1441"/>
      <c r="J107" s="1240"/>
      <c r="K107" s="1442"/>
      <c r="L107" s="1213"/>
      <c r="M107" s="1214"/>
      <c r="N107" s="1216"/>
      <c r="O107" s="1511">
        <v>0.5</v>
      </c>
      <c r="P107" s="1443">
        <f>Labor!I107</f>
        <v>8.4749230769230781</v>
      </c>
      <c r="Q107" s="1216">
        <f>O107*P107</f>
        <v>4.2374615384615391</v>
      </c>
      <c r="R107" s="1217">
        <f>Q107</f>
        <v>4.2374615384615391</v>
      </c>
      <c r="S107" s="1221"/>
    </row>
    <row r="108" spans="1:19">
      <c r="A108" s="1218"/>
      <c r="B108" s="1484"/>
      <c r="C108" s="1485" t="s">
        <v>345</v>
      </c>
      <c r="D108" s="816"/>
      <c r="E108" s="816"/>
      <c r="F108" s="816"/>
      <c r="G108" s="814" t="s">
        <v>400</v>
      </c>
      <c r="H108" s="1209"/>
      <c r="I108" s="1441"/>
      <c r="J108" s="1240"/>
      <c r="K108" s="1442"/>
      <c r="L108" s="1213" t="s">
        <v>405</v>
      </c>
      <c r="M108" s="1450">
        <f>M12/3</f>
        <v>844.44444444444446</v>
      </c>
      <c r="N108" s="1216"/>
      <c r="O108" s="1446"/>
      <c r="P108" s="1462">
        <f>Materials!D94</f>
        <v>3.5</v>
      </c>
      <c r="Q108" s="1216">
        <f>(M108*P108)</f>
        <v>2955.5555555555557</v>
      </c>
      <c r="R108" s="1440">
        <f t="shared" ref="R108:R115" si="6">$Q108+$N108+$J108</f>
        <v>2955.5555555555557</v>
      </c>
      <c r="S108" s="1188"/>
    </row>
    <row r="109" spans="1:19">
      <c r="A109" s="1218"/>
      <c r="B109" s="1484"/>
      <c r="C109" s="1485"/>
      <c r="D109" s="816"/>
      <c r="E109" s="816"/>
      <c r="F109" s="816"/>
      <c r="G109" s="814" t="s">
        <v>404</v>
      </c>
      <c r="H109" s="1209"/>
      <c r="I109" s="1441"/>
      <c r="J109" s="1240"/>
      <c r="K109" s="1442"/>
      <c r="L109" s="1213" t="s">
        <v>405</v>
      </c>
      <c r="M109" s="1450">
        <f>M12/3</f>
        <v>844.44444444444446</v>
      </c>
      <c r="N109" s="1216"/>
      <c r="O109" s="1446"/>
      <c r="P109" s="1462">
        <f>Materials!D97</f>
        <v>0.5</v>
      </c>
      <c r="Q109" s="1216">
        <f>(M109*P109)</f>
        <v>422.22222222222223</v>
      </c>
      <c r="R109" s="1440">
        <f t="shared" si="6"/>
        <v>422.22222222222223</v>
      </c>
      <c r="S109" s="1188"/>
    </row>
    <row r="110" spans="1:19">
      <c r="A110" s="1218"/>
      <c r="B110" s="1484"/>
      <c r="C110" s="1485"/>
      <c r="D110" s="816"/>
      <c r="E110" s="816"/>
      <c r="F110" s="816"/>
      <c r="G110" s="814" t="s">
        <v>350</v>
      </c>
      <c r="H110" s="1209">
        <f>143/10</f>
        <v>14.3</v>
      </c>
      <c r="I110" s="1441">
        <f>Machinery!U20</f>
        <v>2.0387642166547622</v>
      </c>
      <c r="J110" s="1216">
        <f>H110*I110</f>
        <v>29.154328298163101</v>
      </c>
      <c r="K110" s="1442"/>
      <c r="L110" s="1213"/>
      <c r="M110" s="1214"/>
      <c r="N110" s="1216"/>
      <c r="O110" s="1381">
        <f>H110*1.2</f>
        <v>17.16</v>
      </c>
      <c r="P110" s="1443">
        <f>Materials!B73</f>
        <v>7</v>
      </c>
      <c r="Q110" s="1216">
        <f>O110*P110</f>
        <v>120.12</v>
      </c>
      <c r="R110" s="1440">
        <f t="shared" si="6"/>
        <v>149.27432829816311</v>
      </c>
      <c r="S110" s="1188"/>
    </row>
    <row r="111" spans="1:19">
      <c r="A111" s="1218"/>
      <c r="B111" s="1484"/>
      <c r="C111" s="1485"/>
      <c r="D111" s="816"/>
      <c r="E111" s="816"/>
      <c r="F111" s="816"/>
      <c r="G111" s="814" t="s">
        <v>408</v>
      </c>
      <c r="H111" s="1209"/>
      <c r="I111" s="1441"/>
      <c r="J111" s="1240"/>
      <c r="K111" s="1442"/>
      <c r="L111" s="1213" t="s">
        <v>405</v>
      </c>
      <c r="M111" s="1450">
        <f>M12/3</f>
        <v>844.44444444444446</v>
      </c>
      <c r="N111" s="1476"/>
      <c r="O111" s="1381" t="s">
        <v>7</v>
      </c>
      <c r="P111" s="1462">
        <f>Materials!D96</f>
        <v>0.25</v>
      </c>
      <c r="Q111" s="1216">
        <f>(M111*P111)</f>
        <v>211.11111111111111</v>
      </c>
      <c r="R111" s="1440">
        <f t="shared" si="6"/>
        <v>211.11111111111111</v>
      </c>
      <c r="S111" s="1188"/>
    </row>
    <row r="112" spans="1:19">
      <c r="A112" s="1218"/>
      <c r="B112" s="1484"/>
      <c r="C112" s="1485"/>
      <c r="D112" s="816"/>
      <c r="E112" s="816"/>
      <c r="F112" s="816"/>
      <c r="G112" s="814" t="s">
        <v>611</v>
      </c>
      <c r="H112" s="1209"/>
      <c r="I112" s="1441"/>
      <c r="J112" s="1240"/>
      <c r="K112" s="1442"/>
      <c r="L112" s="1213"/>
      <c r="M112" s="1450"/>
      <c r="N112" s="1476"/>
      <c r="O112" s="1511">
        <v>20</v>
      </c>
      <c r="P112" s="1214">
        <f>Labor!I107</f>
        <v>8.4749230769230781</v>
      </c>
      <c r="Q112" s="1216">
        <f>(O112*P112)</f>
        <v>169.49846153846156</v>
      </c>
      <c r="R112" s="1440">
        <f t="shared" si="6"/>
        <v>169.49846153846156</v>
      </c>
      <c r="S112" s="1188"/>
    </row>
    <row r="113" spans="1:19">
      <c r="A113" s="1218"/>
      <c r="B113" s="1484"/>
      <c r="C113" s="1666" t="s">
        <v>384</v>
      </c>
      <c r="D113" s="1667"/>
      <c r="E113" s="801"/>
      <c r="F113" s="801"/>
      <c r="G113" s="814" t="s">
        <v>337</v>
      </c>
      <c r="H113" s="1323">
        <f>31*24</f>
        <v>744</v>
      </c>
      <c r="I113" s="1324">
        <f>Machinery!U14</f>
        <v>4.1369271180555556</v>
      </c>
      <c r="J113" s="1325">
        <f>(H113*I113)/10</f>
        <v>307.7873775833333</v>
      </c>
      <c r="K113" s="1348"/>
      <c r="L113" s="1213"/>
      <c r="M113" s="1349"/>
      <c r="N113" s="1325"/>
      <c r="O113" s="1365"/>
      <c r="P113" s="1220"/>
      <c r="Q113" s="1325"/>
      <c r="R113" s="1440">
        <f t="shared" si="6"/>
        <v>307.7873775833333</v>
      </c>
      <c r="S113" s="1188"/>
    </row>
    <row r="114" spans="1:19">
      <c r="A114" s="1218"/>
      <c r="B114" s="1484"/>
      <c r="C114" s="1666" t="s">
        <v>383</v>
      </c>
      <c r="D114" s="1667"/>
      <c r="E114" s="801"/>
      <c r="F114" s="801"/>
      <c r="G114" s="814" t="s">
        <v>339</v>
      </c>
      <c r="H114" s="1406">
        <v>270</v>
      </c>
      <c r="I114" s="1324">
        <f>Machinery!U16</f>
        <v>2.1839812101910834</v>
      </c>
      <c r="J114" s="1325">
        <f>(H114*I114)/10</f>
        <v>58.967492675159249</v>
      </c>
      <c r="K114" s="1348"/>
      <c r="L114" s="1213"/>
      <c r="M114" s="1349"/>
      <c r="N114" s="1325"/>
      <c r="O114" s="1365"/>
      <c r="P114" s="1220"/>
      <c r="Q114" s="1325"/>
      <c r="R114" s="1440">
        <f t="shared" si="6"/>
        <v>58.967492675159249</v>
      </c>
      <c r="S114" s="1188"/>
    </row>
    <row r="115" spans="1:19" ht="13.5" thickBot="1">
      <c r="A115" s="1218"/>
      <c r="B115" s="1484"/>
      <c r="C115" s="1666" t="s">
        <v>309</v>
      </c>
      <c r="D115" s="1667"/>
      <c r="E115" s="801"/>
      <c r="F115" s="801"/>
      <c r="G115" s="809" t="s">
        <v>351</v>
      </c>
      <c r="H115" s="1406">
        <v>400</v>
      </c>
      <c r="I115" s="1324">
        <f>Machinery!U24</f>
        <v>0.57239501999999998</v>
      </c>
      <c r="J115" s="1325">
        <f>((H115*I115)+(Machinery!U21*32))/10</f>
        <v>28.446334133333334</v>
      </c>
      <c r="K115" s="1348"/>
      <c r="L115" s="1213"/>
      <c r="M115" s="1349"/>
      <c r="N115" s="1325"/>
      <c r="O115" s="1365">
        <f>(H115/100)*4</f>
        <v>16</v>
      </c>
      <c r="P115" s="1443">
        <f>Labor!I107</f>
        <v>8.4749230769230781</v>
      </c>
      <c r="Q115" s="1325">
        <f>(O115*P115)/10</f>
        <v>13.559876923076924</v>
      </c>
      <c r="R115" s="1440">
        <f t="shared" si="6"/>
        <v>42.006211056410258</v>
      </c>
      <c r="S115" s="1188"/>
    </row>
    <row r="116" spans="1:19" ht="13.5" thickBot="1">
      <c r="A116" s="1189" t="s">
        <v>109</v>
      </c>
      <c r="B116" s="1190"/>
      <c r="C116" s="1110"/>
      <c r="D116" s="1110"/>
      <c r="E116" s="1110"/>
      <c r="F116" s="1110"/>
      <c r="G116" s="1369"/>
      <c r="H116" s="1191">
        <f>SUM(H$96:H$107)</f>
        <v>39.751000000000005</v>
      </c>
      <c r="I116" s="1198"/>
      <c r="J116" s="1197">
        <f>SUM(J$96:J$115)</f>
        <v>951.12156557645937</v>
      </c>
      <c r="K116" s="1454"/>
      <c r="L116" s="1337"/>
      <c r="M116" s="1229"/>
      <c r="N116" s="1197">
        <f>SUM(N$96:N$115)</f>
        <v>104.11584865497267</v>
      </c>
      <c r="O116" s="1455">
        <f>SUM(O$96:O$115)</f>
        <v>68.761200000000002</v>
      </c>
      <c r="P116" s="1466"/>
      <c r="Q116" s="1197">
        <f>SUM(Q$96:Q$115)</f>
        <v>4024.28619725812</v>
      </c>
      <c r="R116" s="1198">
        <f>SUM(R$96:R$115)</f>
        <v>5079.5236114895524</v>
      </c>
      <c r="S116" s="1199">
        <f>J116+N116+Q116</f>
        <v>5079.5236114895524</v>
      </c>
    </row>
    <row r="117" spans="1:19" ht="13.5" thickBot="1">
      <c r="A117" s="1168" t="s">
        <v>110</v>
      </c>
      <c r="B117" s="1467"/>
      <c r="C117" s="1431"/>
      <c r="D117" s="1431"/>
      <c r="E117" s="1431"/>
      <c r="F117" s="1431"/>
      <c r="G117" s="1372"/>
      <c r="H117" s="1226"/>
      <c r="I117" s="1228"/>
      <c r="J117" s="1456"/>
      <c r="K117" s="1266"/>
      <c r="L117" s="1204"/>
      <c r="M117" s="1205"/>
      <c r="N117" s="1227"/>
      <c r="O117" s="1457"/>
      <c r="P117" s="1458"/>
      <c r="Q117" s="1227"/>
      <c r="R117" s="1228"/>
      <c r="S117" s="1208" t="s">
        <v>110</v>
      </c>
    </row>
    <row r="118" spans="1:19">
      <c r="A118" s="1176"/>
      <c r="B118" s="1177">
        <v>301</v>
      </c>
      <c r="C118" s="816" t="s">
        <v>24</v>
      </c>
      <c r="D118" s="816"/>
      <c r="E118" s="816"/>
      <c r="F118" s="816"/>
      <c r="G118" s="814" t="s">
        <v>25</v>
      </c>
      <c r="H118" s="1209"/>
      <c r="I118" s="1441"/>
      <c r="J118" s="1240"/>
      <c r="K118" s="1442">
        <f>Materials!F71</f>
        <v>6</v>
      </c>
      <c r="L118" s="1213" t="s">
        <v>300</v>
      </c>
      <c r="M118" s="1214">
        <v>1</v>
      </c>
      <c r="N118" s="1216">
        <f>K118*M118</f>
        <v>6</v>
      </c>
      <c r="O118" s="1381"/>
      <c r="P118" s="1443"/>
      <c r="Q118" s="1216"/>
      <c r="R118" s="1217">
        <f t="shared" ref="R118:R132" si="7">$Q118+$N118+$J118</f>
        <v>6</v>
      </c>
      <c r="S118" s="1188"/>
    </row>
    <row r="119" spans="1:19">
      <c r="A119" s="1218"/>
      <c r="B119" s="1219">
        <v>309</v>
      </c>
      <c r="C119" s="816" t="s">
        <v>100</v>
      </c>
      <c r="D119" s="816"/>
      <c r="E119" s="816"/>
      <c r="F119" s="816"/>
      <c r="G119" s="814" t="s">
        <v>236</v>
      </c>
      <c r="H119" s="1272">
        <v>0.5</v>
      </c>
      <c r="I119" s="1324">
        <f>Machinery!U5+Machinery!U9</f>
        <v>14.78363566577778</v>
      </c>
      <c r="J119" s="1325">
        <f>H119*I119</f>
        <v>7.3918178328888899</v>
      </c>
      <c r="K119" s="1357"/>
      <c r="L119" s="1213"/>
      <c r="M119" s="1354"/>
      <c r="N119" s="1325"/>
      <c r="O119" s="1381">
        <f>H119*1.2</f>
        <v>0.6</v>
      </c>
      <c r="P119" s="1443">
        <f>Labor!I107</f>
        <v>8.4749230769230781</v>
      </c>
      <c r="Q119" s="1216">
        <f>$P119*$O119</f>
        <v>5.084953846153847</v>
      </c>
      <c r="R119" s="1217">
        <f t="shared" si="7"/>
        <v>12.476771679042738</v>
      </c>
      <c r="S119" s="1188"/>
    </row>
    <row r="120" spans="1:19">
      <c r="A120" s="1218"/>
      <c r="B120" s="1219">
        <v>337</v>
      </c>
      <c r="C120" s="816" t="s">
        <v>106</v>
      </c>
      <c r="D120" s="816"/>
      <c r="E120" s="816"/>
      <c r="F120" s="816"/>
      <c r="G120" s="814" t="s">
        <v>140</v>
      </c>
      <c r="H120" s="1272">
        <v>24</v>
      </c>
      <c r="I120" s="1462">
        <f>I69</f>
        <v>16.483727893333331</v>
      </c>
      <c r="J120" s="1240">
        <f>$H120*$I120</f>
        <v>395.60946943999994</v>
      </c>
      <c r="K120" s="1442"/>
      <c r="L120" s="1213"/>
      <c r="M120" s="1214"/>
      <c r="N120" s="1216"/>
      <c r="O120" s="1381">
        <f>(H120/3)*0.5</f>
        <v>4</v>
      </c>
      <c r="P120" s="1443">
        <f>Labor!I107</f>
        <v>8.4749230769230781</v>
      </c>
      <c r="Q120" s="1216">
        <f>$P120*$O120</f>
        <v>33.899692307692312</v>
      </c>
      <c r="R120" s="1217">
        <f t="shared" si="7"/>
        <v>429.50916174769225</v>
      </c>
      <c r="S120" s="1188"/>
    </row>
    <row r="121" spans="1:19">
      <c r="A121" s="1218"/>
      <c r="B121" s="1484"/>
      <c r="C121" s="1485" t="s">
        <v>345</v>
      </c>
      <c r="D121" s="816"/>
      <c r="E121" s="816"/>
      <c r="F121" s="816"/>
      <c r="G121" s="814" t="s">
        <v>409</v>
      </c>
      <c r="H121" s="1209"/>
      <c r="I121" s="1441"/>
      <c r="J121" s="1240"/>
      <c r="K121" s="1442"/>
      <c r="L121" s="1213" t="s">
        <v>405</v>
      </c>
      <c r="M121" s="1450">
        <f>M12/3</f>
        <v>844.44444444444446</v>
      </c>
      <c r="N121" s="1216"/>
      <c r="O121" s="1446"/>
      <c r="P121" s="1462">
        <f>Materials!D94</f>
        <v>3.5</v>
      </c>
      <c r="Q121" s="1216">
        <f>(M121*P121)</f>
        <v>2955.5555555555557</v>
      </c>
      <c r="R121" s="1440">
        <f t="shared" si="7"/>
        <v>2955.5555555555557</v>
      </c>
      <c r="S121" s="1188"/>
    </row>
    <row r="122" spans="1:19">
      <c r="A122" s="1218"/>
      <c r="B122" s="1484"/>
      <c r="C122" s="1485"/>
      <c r="D122" s="816"/>
      <c r="E122" s="816"/>
      <c r="F122" s="816"/>
      <c r="G122" s="814" t="s">
        <v>404</v>
      </c>
      <c r="H122" s="1209"/>
      <c r="I122" s="1441"/>
      <c r="J122" s="1240"/>
      <c r="K122" s="1442"/>
      <c r="L122" s="1213" t="s">
        <v>405</v>
      </c>
      <c r="M122" s="1450">
        <f>M12/3</f>
        <v>844.44444444444446</v>
      </c>
      <c r="N122" s="1216"/>
      <c r="O122" s="1446"/>
      <c r="P122" s="1462">
        <f>Materials!D97</f>
        <v>0.5</v>
      </c>
      <c r="Q122" s="1216">
        <f>(M122*P122)</f>
        <v>422.22222222222223</v>
      </c>
      <c r="R122" s="1440">
        <f t="shared" si="7"/>
        <v>422.22222222222223</v>
      </c>
      <c r="S122" s="1188"/>
    </row>
    <row r="123" spans="1:19">
      <c r="A123" s="1218"/>
      <c r="B123" s="1484"/>
      <c r="C123" s="1485"/>
      <c r="D123" s="816"/>
      <c r="E123" s="816"/>
      <c r="F123" s="816"/>
      <c r="G123" s="814" t="s">
        <v>352</v>
      </c>
      <c r="H123" s="1209">
        <f>143/10</f>
        <v>14.3</v>
      </c>
      <c r="I123" s="1441">
        <f>Machinery!U20</f>
        <v>2.0387642166547622</v>
      </c>
      <c r="J123" s="1240">
        <f>H123*I123</f>
        <v>29.154328298163101</v>
      </c>
      <c r="K123" s="1442"/>
      <c r="L123" s="1213"/>
      <c r="M123" s="1214"/>
      <c r="N123" s="1216"/>
      <c r="O123" s="1381">
        <f>H123*1.2</f>
        <v>17.16</v>
      </c>
      <c r="P123" s="1443">
        <f>Materials!B73</f>
        <v>7</v>
      </c>
      <c r="Q123" s="1216">
        <f>O123*P123</f>
        <v>120.12</v>
      </c>
      <c r="R123" s="1440">
        <f t="shared" si="7"/>
        <v>149.27432829816311</v>
      </c>
      <c r="S123" s="1188"/>
    </row>
    <row r="124" spans="1:19">
      <c r="A124" s="1218"/>
      <c r="B124" s="1484"/>
      <c r="C124" s="1485"/>
      <c r="D124" s="816"/>
      <c r="E124" s="816"/>
      <c r="F124" s="816"/>
      <c r="G124" s="814" t="s">
        <v>408</v>
      </c>
      <c r="H124" s="1209"/>
      <c r="I124" s="1441"/>
      <c r="J124" s="1240"/>
      <c r="K124" s="1442"/>
      <c r="L124" s="1213" t="s">
        <v>405</v>
      </c>
      <c r="M124" s="1450">
        <f>M12/3</f>
        <v>844.44444444444446</v>
      </c>
      <c r="N124" s="1476"/>
      <c r="O124" s="1381" t="s">
        <v>7</v>
      </c>
      <c r="P124" s="1462">
        <f>Materials!D96</f>
        <v>0.25</v>
      </c>
      <c r="Q124" s="1216">
        <f>(M124*P124)</f>
        <v>211.11111111111111</v>
      </c>
      <c r="R124" s="1440">
        <f t="shared" si="7"/>
        <v>211.11111111111111</v>
      </c>
      <c r="S124" s="1188"/>
    </row>
    <row r="125" spans="1:19">
      <c r="A125" s="1218"/>
      <c r="B125" s="1484"/>
      <c r="C125" s="1485"/>
      <c r="D125" s="816"/>
      <c r="E125" s="816"/>
      <c r="F125" s="816"/>
      <c r="G125" s="814" t="s">
        <v>611</v>
      </c>
      <c r="H125" s="1209"/>
      <c r="I125" s="1441"/>
      <c r="J125" s="1240"/>
      <c r="K125" s="1442"/>
      <c r="L125" s="1213"/>
      <c r="M125" s="1450"/>
      <c r="N125" s="1476"/>
      <c r="O125" s="1511">
        <v>20</v>
      </c>
      <c r="P125" s="1462">
        <f>Labor!I107</f>
        <v>8.4749230769230781</v>
      </c>
      <c r="Q125" s="1216">
        <f>(O125*P125)</f>
        <v>169.49846153846156</v>
      </c>
      <c r="R125" s="1440">
        <f t="shared" si="7"/>
        <v>169.49846153846156</v>
      </c>
      <c r="S125" s="1188"/>
    </row>
    <row r="126" spans="1:19">
      <c r="A126" s="1218"/>
      <c r="B126" s="1484"/>
      <c r="C126" s="1666" t="s">
        <v>384</v>
      </c>
      <c r="D126" s="1667"/>
      <c r="E126" s="801"/>
      <c r="F126" s="801"/>
      <c r="G126" s="814" t="s">
        <v>337</v>
      </c>
      <c r="H126" s="1323">
        <f>31*24</f>
        <v>744</v>
      </c>
      <c r="I126" s="1324">
        <f>Machinery!U14</f>
        <v>4.1369271180555556</v>
      </c>
      <c r="J126" s="1325">
        <f>(H126*I126)/10</f>
        <v>307.7873775833333</v>
      </c>
      <c r="K126" s="1348"/>
      <c r="L126" s="1213"/>
      <c r="M126" s="1349"/>
      <c r="N126" s="1325"/>
      <c r="O126" s="1365"/>
      <c r="P126" s="1220"/>
      <c r="Q126" s="1325"/>
      <c r="R126" s="1440">
        <f t="shared" si="7"/>
        <v>307.7873775833333</v>
      </c>
      <c r="S126" s="1188"/>
    </row>
    <row r="127" spans="1:19">
      <c r="A127" s="1218"/>
      <c r="B127" s="1484"/>
      <c r="C127" s="1666" t="s">
        <v>383</v>
      </c>
      <c r="D127" s="1667"/>
      <c r="E127" s="801"/>
      <c r="F127" s="801"/>
      <c r="G127" s="814" t="s">
        <v>339</v>
      </c>
      <c r="H127" s="1406">
        <v>270</v>
      </c>
      <c r="I127" s="1324">
        <f>Machinery!U16</f>
        <v>2.1839812101910834</v>
      </c>
      <c r="J127" s="1325">
        <f>(H127*I127)/10</f>
        <v>58.967492675159249</v>
      </c>
      <c r="K127" s="1348"/>
      <c r="L127" s="1213"/>
      <c r="M127" s="1349"/>
      <c r="N127" s="1325"/>
      <c r="O127" s="1365"/>
      <c r="P127" s="1220"/>
      <c r="Q127" s="1325"/>
      <c r="R127" s="1440">
        <f t="shared" si="7"/>
        <v>58.967492675159249</v>
      </c>
      <c r="S127" s="1188"/>
    </row>
    <row r="128" spans="1:19">
      <c r="A128" s="1218"/>
      <c r="B128" s="1484"/>
      <c r="C128" s="1666" t="s">
        <v>309</v>
      </c>
      <c r="D128" s="1667"/>
      <c r="E128" s="801"/>
      <c r="F128" s="801"/>
      <c r="G128" s="809" t="s">
        <v>351</v>
      </c>
      <c r="H128" s="1406">
        <v>400</v>
      </c>
      <c r="I128" s="1324">
        <f>Machinery!U24</f>
        <v>0.57239501999999998</v>
      </c>
      <c r="J128" s="1325">
        <f>((H128*I128)+(Machinery!U21*32))/10</f>
        <v>28.446334133333334</v>
      </c>
      <c r="K128" s="1348"/>
      <c r="L128" s="1213"/>
      <c r="M128" s="1349"/>
      <c r="N128" s="1325"/>
      <c r="O128" s="1365">
        <f>(H128/100)*4</f>
        <v>16</v>
      </c>
      <c r="P128" s="1443">
        <f>Labor!I107</f>
        <v>8.4749230769230781</v>
      </c>
      <c r="Q128" s="1325">
        <f>(O128*P128)/10</f>
        <v>13.559876923076924</v>
      </c>
      <c r="R128" s="1440">
        <f t="shared" si="7"/>
        <v>42.006211056410258</v>
      </c>
      <c r="S128" s="1188"/>
    </row>
    <row r="129" spans="1:19">
      <c r="A129" s="1218"/>
      <c r="B129" s="1219">
        <v>339</v>
      </c>
      <c r="C129" s="816" t="s">
        <v>104</v>
      </c>
      <c r="D129" s="816"/>
      <c r="E129" s="816"/>
      <c r="F129" s="816"/>
      <c r="G129" s="814" t="s">
        <v>122</v>
      </c>
      <c r="H129" s="1272">
        <v>30</v>
      </c>
      <c r="I129" s="1441">
        <f>Machinery!U7</f>
        <v>0.34666666666666662</v>
      </c>
      <c r="J129" s="1240">
        <f>H129*I129</f>
        <v>10.399999999999999</v>
      </c>
      <c r="K129" s="1442"/>
      <c r="L129" s="1213"/>
      <c r="M129" s="1214"/>
      <c r="N129" s="1216"/>
      <c r="O129" s="1511">
        <v>50</v>
      </c>
      <c r="P129" s="1443">
        <f>Labor!I107</f>
        <v>8.4749230769230781</v>
      </c>
      <c r="Q129" s="1216">
        <f>$P129*$O129</f>
        <v>423.7461538461539</v>
      </c>
      <c r="R129" s="1217">
        <f t="shared" si="7"/>
        <v>434.14615384615388</v>
      </c>
      <c r="S129" s="1221"/>
    </row>
    <row r="130" spans="1:19">
      <c r="A130" s="1218"/>
      <c r="B130" s="1219"/>
      <c r="C130" s="816" t="s">
        <v>576</v>
      </c>
      <c r="D130" s="816"/>
      <c r="E130" s="816"/>
      <c r="F130" s="816"/>
      <c r="G130" s="814"/>
      <c r="H130" s="1209"/>
      <c r="I130" s="1441"/>
      <c r="J130" s="1240"/>
      <c r="K130" s="1442">
        <f>Materials!D67</f>
        <v>400</v>
      </c>
      <c r="L130" s="1213" t="s">
        <v>575</v>
      </c>
      <c r="M130" s="1214">
        <v>0.25</v>
      </c>
      <c r="N130" s="1216">
        <f>K130*M130</f>
        <v>100</v>
      </c>
      <c r="O130" s="1381"/>
      <c r="P130" s="1443"/>
      <c r="Q130" s="1216"/>
      <c r="R130" s="1217">
        <f t="shared" si="7"/>
        <v>100</v>
      </c>
      <c r="S130" s="1221"/>
    </row>
    <row r="131" spans="1:19">
      <c r="A131" s="1218"/>
      <c r="B131" s="1444">
        <v>339</v>
      </c>
      <c r="C131" s="816" t="s">
        <v>104</v>
      </c>
      <c r="D131" s="816"/>
      <c r="E131" s="816"/>
      <c r="F131" s="816"/>
      <c r="G131" s="809" t="s">
        <v>122</v>
      </c>
      <c r="H131" s="1272">
        <v>15</v>
      </c>
      <c r="I131" s="1441">
        <f>Machinery!U7</f>
        <v>0.34666666666666662</v>
      </c>
      <c r="J131" s="1240">
        <f>H131*I131</f>
        <v>5.1999999999999993</v>
      </c>
      <c r="K131" s="1442"/>
      <c r="L131" s="1213"/>
      <c r="M131" s="917"/>
      <c r="N131" s="1216"/>
      <c r="O131" s="1511">
        <v>50</v>
      </c>
      <c r="P131" s="1443">
        <f>Labor!I107</f>
        <v>8.4749230769230781</v>
      </c>
      <c r="Q131" s="1465">
        <f>O131*P131</f>
        <v>423.7461538461539</v>
      </c>
      <c r="R131" s="1217">
        <f t="shared" si="7"/>
        <v>428.94615384615389</v>
      </c>
      <c r="S131" s="1188"/>
    </row>
    <row r="132" spans="1:19" ht="13.5" thickBot="1">
      <c r="A132" s="1218"/>
      <c r="B132" s="1487"/>
      <c r="C132" s="1488" t="s">
        <v>576</v>
      </c>
      <c r="D132" s="816"/>
      <c r="E132" s="816"/>
      <c r="F132" s="816"/>
      <c r="G132" s="814"/>
      <c r="H132" s="1209"/>
      <c r="I132" s="1441"/>
      <c r="J132" s="1240"/>
      <c r="K132" s="1442">
        <f>Materials!D67</f>
        <v>400</v>
      </c>
      <c r="L132" s="1213" t="s">
        <v>575</v>
      </c>
      <c r="M132" s="1214">
        <v>0.25</v>
      </c>
      <c r="N132" s="1216">
        <f>K132*M132</f>
        <v>100</v>
      </c>
      <c r="O132" s="1381"/>
      <c r="P132" s="1443"/>
      <c r="Q132" s="1216"/>
      <c r="R132" s="1217">
        <f t="shared" si="7"/>
        <v>100</v>
      </c>
      <c r="S132" s="1188"/>
    </row>
    <row r="133" spans="1:19" ht="13.5" thickBot="1">
      <c r="A133" s="1189" t="s">
        <v>111</v>
      </c>
      <c r="B133" s="1190"/>
      <c r="C133" s="1110"/>
      <c r="D133" s="1110"/>
      <c r="E133" s="1110"/>
      <c r="F133" s="1110"/>
      <c r="G133" s="1369"/>
      <c r="H133" s="1191">
        <f>SUM(H$118:H$120)</f>
        <v>24.5</v>
      </c>
      <c r="I133" s="1198"/>
      <c r="J133" s="1197">
        <f>SUM(J$118:J$132)</f>
        <v>842.95681996287794</v>
      </c>
      <c r="K133" s="1454"/>
      <c r="L133" s="1337"/>
      <c r="M133" s="1229"/>
      <c r="N133" s="1197">
        <f>SUM(N$118:N$132)</f>
        <v>206</v>
      </c>
      <c r="O133" s="1455">
        <f>SUM(O$118:O$132)</f>
        <v>157.76</v>
      </c>
      <c r="P133" s="1466"/>
      <c r="Q133" s="1197">
        <f>SUM(Q$118:Q$132)</f>
        <v>4778.5441811965811</v>
      </c>
      <c r="R133" s="1198">
        <f>SUM(R$118:R$132)</f>
        <v>5827.5010011594595</v>
      </c>
      <c r="S133" s="1199">
        <f>J133+N133+Q133</f>
        <v>5827.5010011594586</v>
      </c>
    </row>
    <row r="134" spans="1:19" ht="13.5" thickBot="1">
      <c r="A134" s="1168" t="s">
        <v>112</v>
      </c>
      <c r="B134" s="1467"/>
      <c r="C134" s="1431"/>
      <c r="D134" s="1431"/>
      <c r="E134" s="1431"/>
      <c r="F134" s="1431"/>
      <c r="G134" s="1372"/>
      <c r="H134" s="1226"/>
      <c r="I134" s="1228"/>
      <c r="J134" s="1456"/>
      <c r="K134" s="1266"/>
      <c r="L134" s="1204"/>
      <c r="M134" s="1205"/>
      <c r="N134" s="1227"/>
      <c r="O134" s="1457"/>
      <c r="P134" s="1458"/>
      <c r="Q134" s="1227"/>
      <c r="R134" s="1228"/>
      <c r="S134" s="1208" t="s">
        <v>112</v>
      </c>
    </row>
    <row r="135" spans="1:19">
      <c r="A135" s="1176"/>
      <c r="B135" s="1177">
        <v>301</v>
      </c>
      <c r="C135" s="816" t="s">
        <v>24</v>
      </c>
      <c r="D135" s="816"/>
      <c r="E135" s="816"/>
      <c r="F135" s="816"/>
      <c r="G135" s="814" t="s">
        <v>25</v>
      </c>
      <c r="H135" s="1209"/>
      <c r="I135" s="1441"/>
      <c r="J135" s="1240"/>
      <c r="K135" s="1442">
        <f>Materials!F71</f>
        <v>6</v>
      </c>
      <c r="L135" s="1213" t="s">
        <v>300</v>
      </c>
      <c r="M135" s="1214">
        <v>1</v>
      </c>
      <c r="N135" s="1216">
        <f>K135*M135</f>
        <v>6</v>
      </c>
      <c r="O135" s="1381"/>
      <c r="P135" s="1443"/>
      <c r="Q135" s="1216"/>
      <c r="R135" s="1217">
        <f>$Q135+$N135+$J135</f>
        <v>6</v>
      </c>
      <c r="S135" s="1481"/>
    </row>
    <row r="136" spans="1:19">
      <c r="A136" s="1218"/>
      <c r="B136" s="1219">
        <v>339</v>
      </c>
      <c r="C136" s="816" t="s">
        <v>104</v>
      </c>
      <c r="D136" s="816"/>
      <c r="E136" s="816"/>
      <c r="F136" s="816"/>
      <c r="G136" s="814"/>
      <c r="H136" s="1272">
        <v>15</v>
      </c>
      <c r="I136" s="1441">
        <v>0.34699999999999998</v>
      </c>
      <c r="J136" s="1240">
        <f>H136*I136</f>
        <v>5.2050000000000001</v>
      </c>
      <c r="K136" s="1442"/>
      <c r="L136" s="1213"/>
      <c r="M136" s="1214"/>
      <c r="N136" s="1216"/>
      <c r="O136" s="1511">
        <v>50</v>
      </c>
      <c r="P136" s="1443">
        <f>Labor!I107</f>
        <v>8.4749230769230781</v>
      </c>
      <c r="Q136" s="1216">
        <f>O136*P136</f>
        <v>423.7461538461539</v>
      </c>
      <c r="R136" s="1217">
        <f>Q136+N136+J136</f>
        <v>428.95115384615389</v>
      </c>
      <c r="S136" s="1188"/>
    </row>
    <row r="137" spans="1:19">
      <c r="A137" s="1218"/>
      <c r="B137" s="1219"/>
      <c r="C137" s="816" t="s">
        <v>576</v>
      </c>
      <c r="D137" s="816"/>
      <c r="E137" s="816"/>
      <c r="F137" s="816"/>
      <c r="G137" s="814"/>
      <c r="H137" s="1209"/>
      <c r="I137" s="1441"/>
      <c r="J137" s="1240"/>
      <c r="K137" s="1442">
        <f>Materials!D67</f>
        <v>400</v>
      </c>
      <c r="L137" s="1213" t="s">
        <v>575</v>
      </c>
      <c r="M137" s="1214">
        <v>0.25</v>
      </c>
      <c r="N137" s="1216">
        <f>K137*M137</f>
        <v>100</v>
      </c>
      <c r="O137" s="1381"/>
      <c r="P137" s="1443"/>
      <c r="Q137" s="1216"/>
      <c r="R137" s="1217">
        <f>$Q137+$N137+$J137</f>
        <v>100</v>
      </c>
      <c r="S137" s="1188"/>
    </row>
    <row r="138" spans="1:19">
      <c r="A138" s="1218"/>
      <c r="B138" s="1444">
        <v>339</v>
      </c>
      <c r="C138" s="816" t="s">
        <v>104</v>
      </c>
      <c r="D138" s="816"/>
      <c r="E138" s="816"/>
      <c r="F138" s="816"/>
      <c r="G138" s="814" t="s">
        <v>122</v>
      </c>
      <c r="H138" s="1272">
        <v>15</v>
      </c>
      <c r="I138" s="1441">
        <f>Machinery!U7</f>
        <v>0.34666666666666662</v>
      </c>
      <c r="J138" s="1240">
        <f>H138*I138</f>
        <v>5.1999999999999993</v>
      </c>
      <c r="K138" s="1442"/>
      <c r="L138" s="1213"/>
      <c r="M138" s="917"/>
      <c r="N138" s="1216"/>
      <c r="O138" s="1511">
        <v>50</v>
      </c>
      <c r="P138" s="1443">
        <f>Labor!I107</f>
        <v>8.4749230769230781</v>
      </c>
      <c r="Q138" s="1211">
        <f>O138*P138</f>
        <v>423.7461538461539</v>
      </c>
      <c r="R138" s="1217">
        <f>$Q138+$N138+$J138</f>
        <v>428.94615384615389</v>
      </c>
      <c r="S138" s="1188"/>
    </row>
    <row r="139" spans="1:19" ht="13.5" thickBot="1">
      <c r="A139" s="1218"/>
      <c r="B139" s="1487"/>
      <c r="C139" s="1488" t="s">
        <v>576</v>
      </c>
      <c r="D139" s="816"/>
      <c r="E139" s="816"/>
      <c r="F139" s="816"/>
      <c r="G139" s="814"/>
      <c r="H139" s="1209"/>
      <c r="I139" s="1441"/>
      <c r="J139" s="1240"/>
      <c r="K139" s="1442">
        <f>Materials!D67</f>
        <v>400</v>
      </c>
      <c r="L139" s="1213" t="s">
        <v>575</v>
      </c>
      <c r="M139" s="1214">
        <v>0.25</v>
      </c>
      <c r="N139" s="1216">
        <f>K139*M139</f>
        <v>100</v>
      </c>
      <c r="O139" s="1381"/>
      <c r="P139" s="1443"/>
      <c r="Q139" s="1216"/>
      <c r="R139" s="1217">
        <f>$Q139+$N139+$J139</f>
        <v>100</v>
      </c>
      <c r="S139" s="1188"/>
    </row>
    <row r="140" spans="1:19" ht="13.5" thickBot="1">
      <c r="A140" s="1189" t="s">
        <v>115</v>
      </c>
      <c r="B140" s="1190"/>
      <c r="C140" s="1110"/>
      <c r="D140" s="1110"/>
      <c r="E140" s="1110"/>
      <c r="F140" s="1110"/>
      <c r="G140" s="1369"/>
      <c r="H140" s="1191">
        <f>SUM(H$135:H$138)</f>
        <v>30</v>
      </c>
      <c r="I140" s="1198"/>
      <c r="J140" s="1197">
        <f>SUM(J$135:J$138)</f>
        <v>10.404999999999999</v>
      </c>
      <c r="K140" s="1454"/>
      <c r="L140" s="1337"/>
      <c r="M140" s="1229"/>
      <c r="N140" s="1197">
        <f>SUM(N$135:N$139)</f>
        <v>206</v>
      </c>
      <c r="O140" s="1455">
        <f>SUM(O$135:O$138)</f>
        <v>100</v>
      </c>
      <c r="P140" s="1466"/>
      <c r="Q140" s="1197">
        <f>SUM(Q$135:Q$138)</f>
        <v>847.4923076923078</v>
      </c>
      <c r="R140" s="1198">
        <f>SUM(R$135:R$138)</f>
        <v>963.89730769230778</v>
      </c>
      <c r="S140" s="1199">
        <f>J140+N140+Q140</f>
        <v>1063.8973076923078</v>
      </c>
    </row>
    <row r="141" spans="1:19" ht="13.5" thickBot="1">
      <c r="A141" s="1168" t="s">
        <v>27</v>
      </c>
      <c r="B141" s="1467"/>
      <c r="C141" s="1431"/>
      <c r="D141" s="1431"/>
      <c r="E141" s="1431"/>
      <c r="F141" s="1431"/>
      <c r="G141" s="1372"/>
      <c r="H141" s="1226"/>
      <c r="I141" s="1228"/>
      <c r="J141" s="1456"/>
      <c r="K141" s="1266"/>
      <c r="L141" s="1204"/>
      <c r="M141" s="1205"/>
      <c r="N141" s="1227"/>
      <c r="O141" s="1457"/>
      <c r="P141" s="1458"/>
      <c r="Q141" s="1227"/>
      <c r="R141" s="1228"/>
      <c r="S141" s="1208" t="s">
        <v>27</v>
      </c>
    </row>
    <row r="142" spans="1:19" ht="13.5" thickBot="1">
      <c r="A142" s="1176"/>
      <c r="B142" s="1177">
        <v>301</v>
      </c>
      <c r="C142" s="816" t="s">
        <v>24</v>
      </c>
      <c r="D142" s="816"/>
      <c r="E142" s="816"/>
      <c r="F142" s="816"/>
      <c r="G142" s="814" t="s">
        <v>25</v>
      </c>
      <c r="H142" s="1209"/>
      <c r="I142" s="1441"/>
      <c r="J142" s="1240"/>
      <c r="K142" s="1442">
        <f>Materials!F71</f>
        <v>6</v>
      </c>
      <c r="L142" s="1213" t="s">
        <v>300</v>
      </c>
      <c r="M142" s="1214">
        <v>1</v>
      </c>
      <c r="N142" s="1216">
        <f>K142*M142</f>
        <v>6</v>
      </c>
      <c r="O142" s="1381"/>
      <c r="P142" s="1443"/>
      <c r="Q142" s="1216"/>
      <c r="R142" s="1217">
        <f>$Q142+$N142+$J142</f>
        <v>6</v>
      </c>
      <c r="S142" s="1188"/>
    </row>
    <row r="143" spans="1:19" ht="13.5" thickBot="1">
      <c r="A143" s="1189" t="s">
        <v>37</v>
      </c>
      <c r="B143" s="1190"/>
      <c r="C143" s="1110"/>
      <c r="D143" s="1110"/>
      <c r="E143" s="1110"/>
      <c r="F143" s="1110"/>
      <c r="G143" s="1517"/>
      <c r="H143" s="1191">
        <f>SUM(H$142:H$142)</f>
        <v>0</v>
      </c>
      <c r="I143" s="1198"/>
      <c r="J143" s="1197">
        <f>SUM(J$142:J$142)</f>
        <v>0</v>
      </c>
      <c r="K143" s="1454"/>
      <c r="L143" s="1337"/>
      <c r="M143" s="1229"/>
      <c r="N143" s="1197">
        <f>SUM(N$142:N$142)</f>
        <v>6</v>
      </c>
      <c r="O143" s="1455">
        <f>SUM(O$142:O$142)</f>
        <v>0</v>
      </c>
      <c r="P143" s="1466"/>
      <c r="Q143" s="1197">
        <f>SUM(Q$142:Q$142)</f>
        <v>0</v>
      </c>
      <c r="R143" s="1198">
        <f>SUM(R$142:R$142)</f>
        <v>6</v>
      </c>
      <c r="S143" s="1199">
        <f>J143+N143+Q143</f>
        <v>6</v>
      </c>
    </row>
    <row r="144" spans="1:19" ht="13.5" thickBot="1">
      <c r="A144" s="1168" t="s">
        <v>0</v>
      </c>
      <c r="B144" s="1467"/>
      <c r="C144" s="1431"/>
      <c r="D144" s="1431"/>
      <c r="E144" s="1431"/>
      <c r="F144" s="1431"/>
      <c r="G144" s="1372"/>
      <c r="H144" s="1226"/>
      <c r="I144" s="1228"/>
      <c r="J144" s="1456"/>
      <c r="K144" s="1266"/>
      <c r="L144" s="1204"/>
      <c r="M144" s="1205"/>
      <c r="N144" s="1227"/>
      <c r="O144" s="1457"/>
      <c r="P144" s="1458"/>
      <c r="Q144" s="1227"/>
      <c r="R144" s="1228"/>
      <c r="S144" s="1208" t="s">
        <v>0</v>
      </c>
    </row>
    <row r="145" spans="1:19">
      <c r="A145" s="1176"/>
      <c r="B145" s="1177">
        <v>301</v>
      </c>
      <c r="C145" s="816" t="s">
        <v>24</v>
      </c>
      <c r="D145" s="816"/>
      <c r="E145" s="816"/>
      <c r="F145" s="816"/>
      <c r="G145" s="814" t="s">
        <v>25</v>
      </c>
      <c r="H145" s="1209"/>
      <c r="I145" s="1441"/>
      <c r="J145" s="1240"/>
      <c r="K145" s="1442">
        <f>Materials!F71</f>
        <v>6</v>
      </c>
      <c r="L145" s="1213" t="s">
        <v>300</v>
      </c>
      <c r="M145" s="1214">
        <v>1</v>
      </c>
      <c r="N145" s="1216">
        <f>K145*M145</f>
        <v>6</v>
      </c>
      <c r="O145" s="1381"/>
      <c r="P145" s="1443"/>
      <c r="Q145" s="1216"/>
      <c r="R145" s="1217">
        <f>$Q145+$N145+$J145</f>
        <v>6</v>
      </c>
      <c r="S145" s="1188"/>
    </row>
    <row r="146" spans="1:19">
      <c r="A146" s="1218"/>
      <c r="B146" s="1219"/>
      <c r="C146" s="816" t="s">
        <v>32</v>
      </c>
      <c r="D146" s="816"/>
      <c r="E146" s="816"/>
      <c r="F146" s="816"/>
      <c r="G146" s="814" t="s">
        <v>234</v>
      </c>
      <c r="H146" s="1272">
        <v>0.41699999999999998</v>
      </c>
      <c r="I146" s="1462">
        <f>Machinery!U5+Machinery!U6</f>
        <v>14.084135823</v>
      </c>
      <c r="J146" s="1325">
        <f>H146*I146</f>
        <v>5.873084638191</v>
      </c>
      <c r="K146" s="1357"/>
      <c r="L146" s="1213"/>
      <c r="M146" s="1349"/>
      <c r="N146" s="1325"/>
      <c r="O146" s="1381">
        <f>H146*1.2</f>
        <v>0.50039999999999996</v>
      </c>
      <c r="P146" s="1443">
        <f>Labor!I107</f>
        <v>8.4749230769230781</v>
      </c>
      <c r="Q146" s="1216">
        <f>+$P146*$O146</f>
        <v>4.2408515076923079</v>
      </c>
      <c r="R146" s="1440">
        <f>$Q146+$N146+$J146</f>
        <v>10.113936145883308</v>
      </c>
      <c r="S146" s="1188"/>
    </row>
    <row r="147" spans="1:19">
      <c r="A147" s="1218"/>
      <c r="B147" s="1219"/>
      <c r="C147" s="816"/>
      <c r="D147" s="816" t="s">
        <v>125</v>
      </c>
      <c r="E147" s="816"/>
      <c r="F147" s="816"/>
      <c r="G147" s="814"/>
      <c r="H147" s="1209"/>
      <c r="I147" s="1462"/>
      <c r="J147" s="1325"/>
      <c r="K147" s="1357">
        <f>Materials!D21</f>
        <v>3.52</v>
      </c>
      <c r="L147" s="1472" t="str">
        <f>Materials!C21</f>
        <v>quart</v>
      </c>
      <c r="M147" s="1349">
        <f>Materials!B21</f>
        <v>1</v>
      </c>
      <c r="N147" s="1325">
        <f>K147*M147</f>
        <v>3.52</v>
      </c>
      <c r="O147" s="1381"/>
      <c r="P147" s="1443"/>
      <c r="Q147" s="1216"/>
      <c r="R147" s="1440">
        <f>N147</f>
        <v>3.52</v>
      </c>
      <c r="S147" s="1188"/>
    </row>
    <row r="148" spans="1:19" ht="13.5" thickBot="1">
      <c r="A148" s="1475"/>
      <c r="B148" s="1219">
        <v>357</v>
      </c>
      <c r="C148" s="816" t="s">
        <v>142</v>
      </c>
      <c r="D148" s="816"/>
      <c r="E148" s="816"/>
      <c r="F148" s="816"/>
      <c r="G148" s="814"/>
      <c r="H148" s="1209"/>
      <c r="I148" s="1441"/>
      <c r="J148" s="1240"/>
      <c r="K148" s="1442"/>
      <c r="L148" s="1213"/>
      <c r="M148" s="1214"/>
      <c r="N148" s="1216"/>
      <c r="O148" s="1511">
        <v>20</v>
      </c>
      <c r="P148" s="1443">
        <f>Labor!I107</f>
        <v>8.4749230769230781</v>
      </c>
      <c r="Q148" s="1216">
        <f>O148*P148</f>
        <v>169.49846153846156</v>
      </c>
      <c r="R148" s="1217">
        <f>Q148</f>
        <v>169.49846153846156</v>
      </c>
      <c r="S148" s="1188"/>
    </row>
    <row r="149" spans="1:19" ht="13.5" thickBot="1">
      <c r="A149" s="1189" t="s">
        <v>1</v>
      </c>
      <c r="B149" s="1190"/>
      <c r="C149" s="1110"/>
      <c r="D149" s="1110"/>
      <c r="E149" s="1110"/>
      <c r="F149" s="1110"/>
      <c r="G149" s="1369"/>
      <c r="H149" s="1191">
        <f>SUM(H$145:H$148)</f>
        <v>0.41699999999999998</v>
      </c>
      <c r="I149" s="1198"/>
      <c r="J149" s="1197">
        <f>SUM(J$145:J$148)</f>
        <v>5.873084638191</v>
      </c>
      <c r="K149" s="1454"/>
      <c r="L149" s="1337"/>
      <c r="M149" s="1229"/>
      <c r="N149" s="1490">
        <f>SUM(N$145:N$148)</f>
        <v>9.52</v>
      </c>
      <c r="O149" s="1455">
        <f>SUM(O$145:O$148)</f>
        <v>20.500399999999999</v>
      </c>
      <c r="P149" s="1466"/>
      <c r="Q149" s="1197">
        <f>SUM(Q$145:Q$148)</f>
        <v>173.73931304615385</v>
      </c>
      <c r="R149" s="1198">
        <f>SUM(R$145:R$148)</f>
        <v>189.13239768434485</v>
      </c>
      <c r="S149" s="1199">
        <f>J149+N149+Q149</f>
        <v>189.13239768434485</v>
      </c>
    </row>
    <row r="150" spans="1:19" ht="13.5" thickBot="1">
      <c r="A150" s="1168" t="s">
        <v>3</v>
      </c>
      <c r="B150" s="1467"/>
      <c r="C150" s="1431"/>
      <c r="D150" s="1431"/>
      <c r="E150" s="1431"/>
      <c r="F150" s="1431"/>
      <c r="G150" s="1372"/>
      <c r="H150" s="1226"/>
      <c r="I150" s="1228"/>
      <c r="J150" s="1456"/>
      <c r="K150" s="1266"/>
      <c r="L150" s="1204"/>
      <c r="M150" s="1205"/>
      <c r="N150" s="1227"/>
      <c r="O150" s="1457"/>
      <c r="P150" s="1458"/>
      <c r="Q150" s="1227"/>
      <c r="R150" s="1228"/>
      <c r="S150" s="1208" t="s">
        <v>3</v>
      </c>
    </row>
    <row r="151" spans="1:19">
      <c r="A151" s="1176"/>
      <c r="B151" s="1177">
        <v>301</v>
      </c>
      <c r="C151" s="816" t="s">
        <v>24</v>
      </c>
      <c r="D151" s="816"/>
      <c r="E151" s="816"/>
      <c r="F151" s="816"/>
      <c r="G151" s="814" t="s">
        <v>25</v>
      </c>
      <c r="H151" s="1209"/>
      <c r="I151" s="1441"/>
      <c r="J151" s="1240"/>
      <c r="K151" s="1442">
        <f>Materials!F71</f>
        <v>6</v>
      </c>
      <c r="L151" s="1213" t="s">
        <v>300</v>
      </c>
      <c r="M151" s="1214">
        <v>1</v>
      </c>
      <c r="N151" s="1216">
        <f>K151*M151</f>
        <v>6</v>
      </c>
      <c r="O151" s="1381"/>
      <c r="P151" s="1443"/>
      <c r="Q151" s="1216"/>
      <c r="R151" s="1217">
        <f>$Q151+$N151+$J151</f>
        <v>6</v>
      </c>
      <c r="S151" s="1188"/>
    </row>
    <row r="152" spans="1:19">
      <c r="A152" s="1218"/>
      <c r="B152" s="1484"/>
      <c r="C152" s="1485" t="s">
        <v>32</v>
      </c>
      <c r="D152" s="816"/>
      <c r="E152" s="816"/>
      <c r="F152" s="816"/>
      <c r="G152" s="814" t="s">
        <v>234</v>
      </c>
      <c r="H152" s="1272">
        <v>0.41699999999999998</v>
      </c>
      <c r="I152" s="1462">
        <f>Machinery!U5+Machinery!U6</f>
        <v>14.084135823</v>
      </c>
      <c r="J152" s="1325">
        <f>H152*I152</f>
        <v>5.873084638191</v>
      </c>
      <c r="K152" s="1357"/>
      <c r="L152" s="1213"/>
      <c r="M152" s="1349"/>
      <c r="N152" s="1325"/>
      <c r="O152" s="1381">
        <f>H152*1.2</f>
        <v>0.50039999999999996</v>
      </c>
      <c r="P152" s="1443">
        <f>Labor!I107</f>
        <v>8.4749230769230781</v>
      </c>
      <c r="Q152" s="1216">
        <f>+$P152*$O152</f>
        <v>4.2408515076923079</v>
      </c>
      <c r="R152" s="1440">
        <f>$Q152+$N152+$J152</f>
        <v>10.113936145883308</v>
      </c>
      <c r="S152" s="1188"/>
    </row>
    <row r="153" spans="1:19">
      <c r="A153" s="1218"/>
      <c r="B153" s="1484"/>
      <c r="C153" s="1485"/>
      <c r="D153" s="816" t="s">
        <v>290</v>
      </c>
      <c r="E153" s="816"/>
      <c r="F153" s="816"/>
      <c r="G153" s="814"/>
      <c r="H153" s="1209"/>
      <c r="I153" s="1462"/>
      <c r="J153" s="1325"/>
      <c r="K153" s="1357">
        <f>Materials!D20</f>
        <v>46</v>
      </c>
      <c r="L153" s="1472" t="str">
        <f>Materials!C20</f>
        <v>quart</v>
      </c>
      <c r="M153" s="1349">
        <f>Materials!B20</f>
        <v>2</v>
      </c>
      <c r="N153" s="1325">
        <f>K153*M153</f>
        <v>92</v>
      </c>
      <c r="O153" s="1381"/>
      <c r="P153" s="1443"/>
      <c r="Q153" s="1216"/>
      <c r="R153" s="1440">
        <f>N153</f>
        <v>92</v>
      </c>
      <c r="S153" s="1188"/>
    </row>
    <row r="154" spans="1:19">
      <c r="A154" s="1218"/>
      <c r="B154" s="1484"/>
      <c r="C154" s="1485" t="s">
        <v>32</v>
      </c>
      <c r="D154" s="816"/>
      <c r="E154" s="816"/>
      <c r="F154" s="816"/>
      <c r="G154" s="814" t="s">
        <v>234</v>
      </c>
      <c r="H154" s="1272">
        <v>0.41699999999999998</v>
      </c>
      <c r="I154" s="1462">
        <f>Machinery!U5+Machinery!U6</f>
        <v>14.084135823</v>
      </c>
      <c r="J154" s="1325">
        <f>H154*I154</f>
        <v>5.873084638191</v>
      </c>
      <c r="K154" s="1357"/>
      <c r="L154" s="1213"/>
      <c r="M154" s="1349"/>
      <c r="N154" s="1325"/>
      <c r="O154" s="1381">
        <f>H154*1.2</f>
        <v>0.50039999999999996</v>
      </c>
      <c r="P154" s="1443">
        <f>Labor!I107</f>
        <v>8.4749230769230781</v>
      </c>
      <c r="Q154" s="1216">
        <f>+$P154*$O154</f>
        <v>4.2408515076923079</v>
      </c>
      <c r="R154" s="1440">
        <f>$Q154+$N154+$J154</f>
        <v>10.113936145883308</v>
      </c>
      <c r="S154" s="1188"/>
    </row>
    <row r="155" spans="1:19" ht="13.5" thickBot="1">
      <c r="A155" s="1218"/>
      <c r="B155" s="1484"/>
      <c r="C155" s="1488"/>
      <c r="D155" s="816" t="s">
        <v>291</v>
      </c>
      <c r="E155" s="816"/>
      <c r="F155" s="816"/>
      <c r="G155" s="814"/>
      <c r="H155" s="1209"/>
      <c r="I155" s="1462"/>
      <c r="J155" s="1325"/>
      <c r="K155" s="1357">
        <f>Materials!D19</f>
        <v>3.5</v>
      </c>
      <c r="L155" s="1472" t="str">
        <f>Materials!C19</f>
        <v>quart</v>
      </c>
      <c r="M155" s="1349">
        <f>Materials!B19</f>
        <v>1.5</v>
      </c>
      <c r="N155" s="1325">
        <f>K155*M155</f>
        <v>5.25</v>
      </c>
      <c r="O155" s="1381"/>
      <c r="P155" s="1443"/>
      <c r="Q155" s="1216"/>
      <c r="R155" s="1440">
        <f>N155</f>
        <v>5.25</v>
      </c>
      <c r="S155" s="1188"/>
    </row>
    <row r="156" spans="1:19" ht="13.5" thickBot="1">
      <c r="A156" s="1189" t="s">
        <v>4</v>
      </c>
      <c r="B156" s="1190"/>
      <c r="C156" s="1110"/>
      <c r="D156" s="1110"/>
      <c r="E156" s="1110"/>
      <c r="F156" s="1110"/>
      <c r="G156" s="1369"/>
      <c r="H156" s="1196">
        <f>SUM(H$151)</f>
        <v>0</v>
      </c>
      <c r="I156" s="1198"/>
      <c r="J156" s="1197">
        <f>SUM(J$151:J$155)</f>
        <v>11.746169276382</v>
      </c>
      <c r="K156" s="1454"/>
      <c r="L156" s="1386"/>
      <c r="M156" s="1493"/>
      <c r="N156" s="1197">
        <f>SUM(N$151:N$155)</f>
        <v>103.25</v>
      </c>
      <c r="O156" s="1455">
        <f>SUM(O$151:O$155)</f>
        <v>1.0007999999999999</v>
      </c>
      <c r="P156" s="1466"/>
      <c r="Q156" s="1197">
        <f>SUM(Q$151:Q$155)</f>
        <v>8.4817030153846158</v>
      </c>
      <c r="R156" s="1198">
        <f>SUM(R$151:R$155)</f>
        <v>123.47787229176663</v>
      </c>
      <c r="S156" s="1199">
        <f>J156+N156+Q156</f>
        <v>123.47787229176662</v>
      </c>
    </row>
    <row r="157" spans="1:19" ht="13.5" thickBot="1">
      <c r="A157" s="1168" t="s">
        <v>48</v>
      </c>
      <c r="B157" s="1467"/>
      <c r="C157" s="1431"/>
      <c r="D157" s="1431"/>
      <c r="E157" s="1431"/>
      <c r="F157" s="1431"/>
      <c r="G157" s="1372"/>
      <c r="H157" s="1226"/>
      <c r="I157" s="1228"/>
      <c r="J157" s="1456"/>
      <c r="K157" s="1266"/>
      <c r="L157" s="1204"/>
      <c r="M157" s="1205"/>
      <c r="N157" s="1227"/>
      <c r="O157" s="1457"/>
      <c r="P157" s="1458"/>
      <c r="Q157" s="1227"/>
      <c r="R157" s="1228"/>
      <c r="S157" s="1494" t="s">
        <v>44</v>
      </c>
    </row>
    <row r="158" spans="1:19">
      <c r="A158" s="1321"/>
      <c r="B158" s="1219">
        <v>216</v>
      </c>
      <c r="C158" s="789" t="s">
        <v>38</v>
      </c>
      <c r="D158" s="803"/>
      <c r="E158" s="803"/>
      <c r="F158" s="787"/>
      <c r="G158" s="804" t="s">
        <v>39</v>
      </c>
      <c r="H158" s="1323"/>
      <c r="I158" s="1324"/>
      <c r="J158" s="1325"/>
      <c r="K158" s="1348">
        <f>Materials!D100</f>
        <v>16</v>
      </c>
      <c r="L158" s="1213" t="s">
        <v>286</v>
      </c>
      <c r="M158" s="1349">
        <v>1</v>
      </c>
      <c r="N158" s="1518">
        <f t="shared" ref="N158:N163" si="8">$K158*M158</f>
        <v>16</v>
      </c>
      <c r="O158" s="1365"/>
      <c r="P158" s="1220"/>
      <c r="Q158" s="1325"/>
      <c r="R158" s="1330">
        <f t="shared" ref="R158:R163" si="9">$N158+$J158+$Q158</f>
        <v>16</v>
      </c>
      <c r="S158" s="1331"/>
    </row>
    <row r="159" spans="1:19">
      <c r="A159" s="1218"/>
      <c r="B159" s="1219">
        <v>317</v>
      </c>
      <c r="C159" s="816" t="s">
        <v>40</v>
      </c>
      <c r="D159" s="816"/>
      <c r="E159" s="816"/>
      <c r="F159" s="816"/>
      <c r="G159" s="814" t="s">
        <v>41</v>
      </c>
      <c r="H159" s="1209"/>
      <c r="I159" s="1441"/>
      <c r="J159" s="1240"/>
      <c r="K159" s="1348">
        <f>Materials!D101</f>
        <v>10</v>
      </c>
      <c r="L159" s="1213" t="s">
        <v>286</v>
      </c>
      <c r="M159" s="1214">
        <v>1</v>
      </c>
      <c r="N159" s="1518">
        <f t="shared" si="8"/>
        <v>10</v>
      </c>
      <c r="O159" s="1381"/>
      <c r="P159" s="1443"/>
      <c r="Q159" s="1216"/>
      <c r="R159" s="1217">
        <f t="shared" si="9"/>
        <v>10</v>
      </c>
      <c r="S159" s="1188"/>
    </row>
    <row r="160" spans="1:19">
      <c r="A160" s="1218"/>
      <c r="B160" s="1219">
        <v>318</v>
      </c>
      <c r="C160" s="816" t="s">
        <v>42</v>
      </c>
      <c r="D160" s="816"/>
      <c r="E160" s="816"/>
      <c r="F160" s="816"/>
      <c r="G160" s="814" t="s">
        <v>43</v>
      </c>
      <c r="H160" s="1209"/>
      <c r="I160" s="1441"/>
      <c r="J160" s="1240"/>
      <c r="K160" s="1348">
        <f>Materials!D102</f>
        <v>100</v>
      </c>
      <c r="L160" s="1213" t="s">
        <v>286</v>
      </c>
      <c r="M160" s="1214">
        <v>1</v>
      </c>
      <c r="N160" s="1518">
        <f t="shared" si="8"/>
        <v>100</v>
      </c>
      <c r="O160" s="1381"/>
      <c r="P160" s="1443"/>
      <c r="Q160" s="1216"/>
      <c r="R160" s="1217">
        <f t="shared" si="9"/>
        <v>100</v>
      </c>
      <c r="S160" s="1188"/>
    </row>
    <row r="161" spans="1:19">
      <c r="A161" s="1218"/>
      <c r="B161" s="1219">
        <v>319</v>
      </c>
      <c r="C161" s="816" t="s">
        <v>45</v>
      </c>
      <c r="D161" s="816"/>
      <c r="E161" s="816"/>
      <c r="F161" s="816"/>
      <c r="G161" s="814" t="s">
        <v>45</v>
      </c>
      <c r="H161" s="1209"/>
      <c r="I161" s="1441"/>
      <c r="J161" s="1240"/>
      <c r="K161" s="1348">
        <f>Materials!D103</f>
        <v>35</v>
      </c>
      <c r="L161" s="1213" t="s">
        <v>286</v>
      </c>
      <c r="M161" s="1214">
        <v>1</v>
      </c>
      <c r="N161" s="1518">
        <f t="shared" si="8"/>
        <v>35</v>
      </c>
      <c r="O161" s="1381"/>
      <c r="P161" s="1443"/>
      <c r="Q161" s="1216"/>
      <c r="R161" s="1217">
        <f t="shared" si="9"/>
        <v>35</v>
      </c>
      <c r="S161" s="1188"/>
    </row>
    <row r="162" spans="1:19">
      <c r="A162" s="1218"/>
      <c r="B162" s="1219">
        <v>320</v>
      </c>
      <c r="C162" s="816" t="s">
        <v>46</v>
      </c>
      <c r="D162" s="816"/>
      <c r="E162" s="816"/>
      <c r="F162" s="816"/>
      <c r="G162" s="814" t="s">
        <v>47</v>
      </c>
      <c r="H162" s="1209"/>
      <c r="I162" s="1441"/>
      <c r="J162" s="1240"/>
      <c r="K162" s="1348">
        <f>Materials!D104</f>
        <v>25</v>
      </c>
      <c r="L162" s="1213" t="s">
        <v>286</v>
      </c>
      <c r="M162" s="1214">
        <v>1</v>
      </c>
      <c r="N162" s="1518">
        <f t="shared" si="8"/>
        <v>25</v>
      </c>
      <c r="O162" s="1381"/>
      <c r="P162" s="1443"/>
      <c r="Q162" s="1216"/>
      <c r="R162" s="1217">
        <f t="shared" si="9"/>
        <v>25</v>
      </c>
      <c r="S162" s="1188"/>
    </row>
    <row r="163" spans="1:19" ht="13.5" thickBot="1">
      <c r="A163" s="1218"/>
      <c r="B163" s="1219">
        <v>341</v>
      </c>
      <c r="C163" s="816" t="s">
        <v>118</v>
      </c>
      <c r="D163" s="816"/>
      <c r="E163" s="816"/>
      <c r="F163" s="816"/>
      <c r="G163" s="814" t="s">
        <v>119</v>
      </c>
      <c r="H163" s="1209"/>
      <c r="I163" s="1441"/>
      <c r="J163" s="1240"/>
      <c r="K163" s="1442">
        <v>836.04</v>
      </c>
      <c r="L163" s="1213" t="s">
        <v>286</v>
      </c>
      <c r="M163" s="1214">
        <v>1</v>
      </c>
      <c r="N163" s="1518">
        <f t="shared" si="8"/>
        <v>836.04</v>
      </c>
      <c r="O163" s="1381"/>
      <c r="P163" s="1443"/>
      <c r="Q163" s="1216"/>
      <c r="R163" s="1217">
        <f t="shared" si="9"/>
        <v>836.04</v>
      </c>
      <c r="S163" s="1188"/>
    </row>
    <row r="164" spans="1:19" ht="13.5" thickBot="1">
      <c r="A164" s="1189" t="s">
        <v>49</v>
      </c>
      <c r="B164" s="1190"/>
      <c r="C164" s="1110"/>
      <c r="D164" s="1110"/>
      <c r="E164" s="1110"/>
      <c r="F164" s="1110"/>
      <c r="G164" s="1369"/>
      <c r="H164" s="1191"/>
      <c r="I164" s="1198"/>
      <c r="J164" s="1197"/>
      <c r="K164" s="1454"/>
      <c r="L164" s="1337"/>
      <c r="M164" s="1229"/>
      <c r="N164" s="1474">
        <f>SUM(N$158:N$163)</f>
        <v>1022.04</v>
      </c>
      <c r="O164" s="1455"/>
      <c r="P164" s="1466"/>
      <c r="Q164" s="1197">
        <f>SUM(Q158:Q163)</f>
        <v>0</v>
      </c>
      <c r="R164" s="1198">
        <f>SUM(R$158:R$163)</f>
        <v>1022.04</v>
      </c>
      <c r="S164" s="1199">
        <f>J164+N164+Q164</f>
        <v>1022.04</v>
      </c>
    </row>
    <row r="165" spans="1:19" ht="13.5" thickBot="1">
      <c r="A165" s="1168" t="s">
        <v>50</v>
      </c>
      <c r="B165" s="1467"/>
      <c r="C165" s="1431"/>
      <c r="D165" s="1431"/>
      <c r="E165" s="1431"/>
      <c r="F165" s="1431"/>
      <c r="G165" s="1372"/>
      <c r="H165" s="1226"/>
      <c r="I165" s="1228"/>
      <c r="J165" s="1456"/>
      <c r="K165" s="1266"/>
      <c r="L165" s="1204"/>
      <c r="M165" s="1205"/>
      <c r="N165" s="1227"/>
      <c r="O165" s="1457"/>
      <c r="P165" s="1458"/>
      <c r="Q165" s="1227"/>
      <c r="R165" s="1228"/>
      <c r="S165" s="1208" t="s">
        <v>55</v>
      </c>
    </row>
    <row r="166" spans="1:19">
      <c r="A166" s="1321"/>
      <c r="B166" s="1219">
        <v>321</v>
      </c>
      <c r="C166" s="803" t="s">
        <v>51</v>
      </c>
      <c r="D166" s="803"/>
      <c r="E166" s="803"/>
      <c r="F166" s="787"/>
      <c r="G166" s="804" t="s">
        <v>52</v>
      </c>
      <c r="H166" s="1406">
        <v>5</v>
      </c>
      <c r="I166" s="1324">
        <f>Machinery!V23</f>
        <v>15.64</v>
      </c>
      <c r="J166" s="1325">
        <f>H166*I166</f>
        <v>78.2</v>
      </c>
      <c r="K166" s="1348"/>
      <c r="L166" s="1213"/>
      <c r="M166" s="1349"/>
      <c r="N166" s="1325"/>
      <c r="O166" s="1365">
        <f>$H166*1.2</f>
        <v>6</v>
      </c>
      <c r="P166" s="1443">
        <f>Labor!I107</f>
        <v>8.4749230769230781</v>
      </c>
      <c r="Q166" s="1325">
        <f>$O166*$P166</f>
        <v>50.849538461538472</v>
      </c>
      <c r="R166" s="1330">
        <f>$Q166+$N166+$J166</f>
        <v>129.04953846153848</v>
      </c>
      <c r="S166" s="1331"/>
    </row>
    <row r="167" spans="1:19" ht="13.5" thickBot="1">
      <c r="A167" s="1218"/>
      <c r="B167" s="1219">
        <v>323</v>
      </c>
      <c r="C167" s="816" t="s">
        <v>53</v>
      </c>
      <c r="D167" s="816"/>
      <c r="E167" s="816"/>
      <c r="F167" s="816"/>
      <c r="G167" s="814"/>
      <c r="H167" s="1209"/>
      <c r="I167" s="1441"/>
      <c r="J167" s="1240"/>
      <c r="K167" s="1348">
        <f>Materials!D105</f>
        <v>70</v>
      </c>
      <c r="L167" s="1213" t="s">
        <v>286</v>
      </c>
      <c r="M167" s="1214">
        <v>1</v>
      </c>
      <c r="N167" s="1518">
        <f>$K167*M167</f>
        <v>70</v>
      </c>
      <c r="O167" s="1381"/>
      <c r="P167" s="1443"/>
      <c r="Q167" s="1216"/>
      <c r="R167" s="1217">
        <f>$Q167+$N167+$J167</f>
        <v>70</v>
      </c>
      <c r="S167" s="1188"/>
    </row>
    <row r="168" spans="1:19" ht="13.5" thickBot="1">
      <c r="A168" s="1189" t="s">
        <v>54</v>
      </c>
      <c r="B168" s="1190"/>
      <c r="C168" s="1110"/>
      <c r="D168" s="1110"/>
      <c r="E168" s="1110"/>
      <c r="F168" s="1110"/>
      <c r="G168" s="1369"/>
      <c r="H168" s="1191"/>
      <c r="I168" s="1198"/>
      <c r="J168" s="1197">
        <f>J166</f>
        <v>78.2</v>
      </c>
      <c r="K168" s="1454"/>
      <c r="L168" s="1337"/>
      <c r="M168" s="1229"/>
      <c r="N168" s="1474">
        <f>SUM(N$166:N$167)</f>
        <v>70</v>
      </c>
      <c r="O168" s="1455">
        <f>SUM(O$166:O$167)</f>
        <v>6</v>
      </c>
      <c r="P168" s="1466"/>
      <c r="Q168" s="1197">
        <f>SUM(Q$166:Q$167)</f>
        <v>50.849538461538472</v>
      </c>
      <c r="R168" s="1198">
        <f>SUM(R$166:R$167)</f>
        <v>199.04953846153848</v>
      </c>
      <c r="S168" s="1199">
        <f>J168+N168+Q168</f>
        <v>199.04953846153848</v>
      </c>
    </row>
    <row r="169" spans="1:19" ht="13.5" thickBot="1">
      <c r="A169" s="1496" t="s">
        <v>273</v>
      </c>
      <c r="B169" s="1497"/>
      <c r="C169" s="1497"/>
      <c r="D169" s="1497"/>
      <c r="E169" s="1497"/>
      <c r="F169" s="1497"/>
      <c r="G169" s="1519"/>
      <c r="H169" s="1520"/>
      <c r="I169" s="1500"/>
      <c r="J169" s="1501">
        <f>SUM(J$168+J$164+J156+J149+J$143+J$140+J$133+J$116+J$94+J$71+J$52+J$40+J$22+J$15)</f>
        <v>3497.2526923804312</v>
      </c>
      <c r="K169" s="1502"/>
      <c r="L169" s="1503"/>
      <c r="M169" s="1500"/>
      <c r="N169" s="1501">
        <f>SUM(N$168+N$164+N156+N149+N$143+N$140+N$133+N$116+N$94+N$71+N$52+N$40+N$22+N$15)</f>
        <v>11520.425647953223</v>
      </c>
      <c r="O169" s="1521">
        <f>SUM(O$168+O$164+O156+O149+O$143+O$140+O$133+O$116+O$94+O$71+O$52+O$40+O$22+O$15)</f>
        <v>480.78840000000002</v>
      </c>
      <c r="P169" s="1500"/>
      <c r="Q169" s="1501">
        <f>SUM(Q$168+Q$164+Q156+Q149+Q$143+Q$140+Q$133+Q$116+Q$94+Q$71+Q$52+Q$40+Q$22+Q$15)</f>
        <v>14413.354917558974</v>
      </c>
      <c r="R169" s="1500">
        <f>SUM(R$168+R$164+R156+R149+R$143+R$140+R$133+R$116+R$94+R$71+R$52+R$40+R$22+R$15)</f>
        <v>29331.033257892632</v>
      </c>
      <c r="S169" s="1506">
        <f>SUM(S$168+S$164+S156+S149+S$143+S$140+S$133+S$116+S$94+S$71+S$52+S$40+S$22+S$15)</f>
        <v>29431.033257892628</v>
      </c>
    </row>
    <row r="170" spans="1:19" ht="13.5" thickTop="1">
      <c r="S170" s="1404">
        <f>J169+N169+Q169</f>
        <v>29431.033257892628</v>
      </c>
    </row>
    <row r="172" spans="1:19">
      <c r="J172" s="828" t="s">
        <v>144</v>
      </c>
      <c r="M172" s="1404"/>
      <c r="N172" s="828" t="s">
        <v>158</v>
      </c>
      <c r="Q172" s="828" t="s">
        <v>146</v>
      </c>
    </row>
    <row r="173" spans="1:19">
      <c r="G173" s="764" t="s">
        <v>274</v>
      </c>
      <c r="J173" s="828" t="s">
        <v>249</v>
      </c>
      <c r="N173" s="828" t="s">
        <v>249</v>
      </c>
      <c r="Q173" s="828" t="s">
        <v>249</v>
      </c>
    </row>
    <row r="174" spans="1:19">
      <c r="J174" s="1404"/>
    </row>
    <row r="175" spans="1:19">
      <c r="G175" s="764" t="s">
        <v>275</v>
      </c>
      <c r="J175" s="1404">
        <f>J169-(J88+J90+J91+J92+J110+J113+J114+J115+J123+J126+J127+J128)</f>
        <v>2236.2987006039884</v>
      </c>
      <c r="N175" s="1405">
        <f>N169-(N11+N12+N14)</f>
        <v>3253.5923146198893</v>
      </c>
      <c r="Q175" s="1404">
        <f>Q169-(Q86+Q87+Q89+Q108+Q109+Q111+Q121+Q122+Q124)</f>
        <v>3646.6882508923045</v>
      </c>
    </row>
    <row r="176" spans="1:19">
      <c r="G176" s="764" t="s">
        <v>276</v>
      </c>
      <c r="I176" s="1404"/>
      <c r="J176" s="1404">
        <f>J88+J90+J91+J92+J110+J113+J114+J115+J123+J126+J127+J128</f>
        <v>1260.9539917764425</v>
      </c>
      <c r="K176" s="1404"/>
      <c r="N176" s="1522">
        <f>(((G9*F10)*2.66667)*Materials!D88)+((((G9*F10)*2.666667)/12)*Materials!D90)+((150)*Materials!D91)</f>
        <v>10909.951010000001</v>
      </c>
      <c r="Q176" s="1404">
        <f>Q86+Q87+Q89+Q108+Q109+Q111+Q121+Q122+Q124</f>
        <v>10766.66666666667</v>
      </c>
    </row>
    <row r="177" spans="7:19">
      <c r="I177" s="1404"/>
    </row>
    <row r="178" spans="7:19">
      <c r="G178" s="764" t="s">
        <v>278</v>
      </c>
      <c r="J178" s="1404">
        <f>J175+J176</f>
        <v>3497.2526923804307</v>
      </c>
      <c r="N178" s="1405">
        <f>N175+N176</f>
        <v>14163.54332461989</v>
      </c>
      <c r="Q178" s="1404">
        <f>Q175+Q176</f>
        <v>14413.354917558974</v>
      </c>
      <c r="S178" s="1404">
        <f>J178+N178+Q178</f>
        <v>32074.150934559293</v>
      </c>
    </row>
    <row r="180" spans="7:19">
      <c r="M180" s="764" t="s">
        <v>594</v>
      </c>
    </row>
    <row r="181" spans="7:19">
      <c r="M181" s="764" t="s">
        <v>595</v>
      </c>
      <c r="N181" s="1405">
        <f>N11+N12+N14</f>
        <v>8266.8333333333339</v>
      </c>
    </row>
    <row r="182" spans="7:19">
      <c r="M182" s="764" t="s">
        <v>147</v>
      </c>
      <c r="N182" s="1405">
        <f>N175+N181</f>
        <v>11520.425647953223</v>
      </c>
      <c r="Q182" s="1404"/>
    </row>
  </sheetData>
  <sheetProtection password="A5F1" sheet="1" objects="1" scenarios="1"/>
  <mergeCells count="22">
    <mergeCell ref="C127:D127"/>
    <mergeCell ref="C128:D128"/>
    <mergeCell ref="C113:D113"/>
    <mergeCell ref="C114:D114"/>
    <mergeCell ref="C115:D115"/>
    <mergeCell ref="C126:D126"/>
    <mergeCell ref="C18:E18"/>
    <mergeCell ref="C90:D90"/>
    <mergeCell ref="C101:D101"/>
    <mergeCell ref="C92:D92"/>
    <mergeCell ref="C27:E27"/>
    <mergeCell ref="C45:D45"/>
    <mergeCell ref="C58:E58"/>
    <mergeCell ref="C61:D61"/>
    <mergeCell ref="C77:D77"/>
    <mergeCell ref="C79:D79"/>
    <mergeCell ref="C64:E64"/>
    <mergeCell ref="C66:E66"/>
    <mergeCell ref="C105:D105"/>
    <mergeCell ref="C91:D91"/>
    <mergeCell ref="C81:E81"/>
    <mergeCell ref="C103:D103"/>
  </mergeCells>
  <phoneticPr fontId="0" type="noConversion"/>
  <pageMargins left="0.87" right="0.75" top="0.25" bottom="0.5" header="0.25" footer="0.5"/>
  <pageSetup scale="56" orientation="landscape" horizontalDpi="4294967293" verticalDpi="1200"/>
  <headerFooter alignWithMargins="0"/>
  <colBreaks count="1" manualBreakCount="1">
    <brk id="18" max="173" man="1"/>
  </colBreaks>
</worksheet>
</file>

<file path=xl/worksheets/sheet19.xml><?xml version="1.0" encoding="utf-8"?>
<worksheet xmlns="http://schemas.openxmlformats.org/spreadsheetml/2006/main" xmlns:r="http://schemas.openxmlformats.org/officeDocument/2006/relationships">
  <sheetPr codeName="Sheet7" enableFormatConditionsCalculation="0">
    <tabColor theme="3" tint="0.39997558519241921"/>
  </sheetPr>
  <dimension ref="A1:H77"/>
  <sheetViews>
    <sheetView topLeftCell="A39" zoomScaleNormal="100" workbookViewId="0">
      <selection activeCell="G57" sqref="G57"/>
    </sheetView>
  </sheetViews>
  <sheetFormatPr defaultColWidth="8.85546875" defaultRowHeight="12.75"/>
  <cols>
    <col min="1" max="1" width="22.7109375" customWidth="1"/>
    <col min="2" max="4" width="15.7109375" customWidth="1"/>
    <col min="5" max="5" width="14.7109375" customWidth="1"/>
    <col min="6" max="6" width="12.7109375" customWidth="1"/>
    <col min="7" max="7" width="20.7109375" customWidth="1"/>
    <col min="8" max="8" width="12.140625" bestFit="1" customWidth="1"/>
  </cols>
  <sheetData>
    <row r="1" spans="1:8" ht="15.75">
      <c r="A1" s="1668" t="s">
        <v>741</v>
      </c>
      <c r="B1" s="1668"/>
      <c r="C1" s="1668"/>
      <c r="D1" s="1668"/>
      <c r="E1" s="1668"/>
      <c r="F1" s="2"/>
      <c r="G1" s="2"/>
    </row>
    <row r="2" spans="1:8" ht="15.75">
      <c r="F2" s="2"/>
      <c r="G2" s="15" t="s">
        <v>260</v>
      </c>
      <c r="H2" s="1"/>
    </row>
    <row r="3" spans="1:8" ht="15.75">
      <c r="A3" s="280" t="s">
        <v>248</v>
      </c>
      <c r="B3" s="323" t="s">
        <v>144</v>
      </c>
      <c r="C3" s="323" t="s">
        <v>158</v>
      </c>
      <c r="D3" s="323" t="s">
        <v>146</v>
      </c>
      <c r="E3" s="323" t="s">
        <v>147</v>
      </c>
      <c r="F3" s="57"/>
      <c r="G3" s="280" t="s">
        <v>248</v>
      </c>
      <c r="H3" s="323" t="s">
        <v>146</v>
      </c>
    </row>
    <row r="4" spans="1:8" ht="15.75">
      <c r="A4" s="280" t="s">
        <v>8</v>
      </c>
      <c r="B4" s="323" t="s">
        <v>249</v>
      </c>
      <c r="C4" s="323" t="s">
        <v>249</v>
      </c>
      <c r="D4" s="323" t="s">
        <v>249</v>
      </c>
      <c r="E4" s="323" t="s">
        <v>249</v>
      </c>
      <c r="F4" s="58"/>
      <c r="G4" s="280" t="s">
        <v>8</v>
      </c>
      <c r="H4" s="323" t="s">
        <v>261</v>
      </c>
    </row>
    <row r="5" spans="1:8" ht="15.75">
      <c r="A5" s="319" t="s">
        <v>250</v>
      </c>
      <c r="B5" s="320"/>
      <c r="C5" s="320"/>
      <c r="D5" s="320"/>
      <c r="E5" s="320"/>
      <c r="F5" s="57"/>
      <c r="G5" s="319" t="s">
        <v>250</v>
      </c>
      <c r="H5" s="320"/>
    </row>
    <row r="6" spans="1:8" ht="15">
      <c r="A6" s="320" t="s">
        <v>79</v>
      </c>
      <c r="B6" s="59">
        <v>0</v>
      </c>
      <c r="C6" s="59">
        <v>0</v>
      </c>
      <c r="D6" s="59">
        <v>0</v>
      </c>
      <c r="E6" s="58">
        <f t="shared" ref="E6:E19" si="0">SUM(B6:D6)</f>
        <v>0</v>
      </c>
      <c r="F6" s="57"/>
      <c r="G6" s="320" t="s">
        <v>79</v>
      </c>
      <c r="H6" s="59">
        <v>0</v>
      </c>
    </row>
    <row r="7" spans="1:8" ht="15">
      <c r="A7" s="320" t="s">
        <v>69</v>
      </c>
      <c r="B7" s="17">
        <f>Year0!I8</f>
        <v>0</v>
      </c>
      <c r="C7" s="17">
        <f>Year0!M8</f>
        <v>25</v>
      </c>
      <c r="D7" s="17">
        <f>Year0!P8</f>
        <v>40.679630769230776</v>
      </c>
      <c r="E7" s="58">
        <f t="shared" si="0"/>
        <v>65.679630769230783</v>
      </c>
      <c r="F7" s="57"/>
      <c r="G7" s="320" t="s">
        <v>69</v>
      </c>
      <c r="H7" s="17">
        <f>Year0!N8</f>
        <v>4.8</v>
      </c>
    </row>
    <row r="8" spans="1:8" ht="15">
      <c r="A8" s="320" t="s">
        <v>84</v>
      </c>
      <c r="B8" s="59">
        <v>0</v>
      </c>
      <c r="C8" s="59">
        <v>0</v>
      </c>
      <c r="D8" s="59">
        <v>0</v>
      </c>
      <c r="E8" s="58">
        <f t="shared" si="0"/>
        <v>0</v>
      </c>
      <c r="F8" s="57"/>
      <c r="G8" s="320" t="s">
        <v>84</v>
      </c>
      <c r="H8" s="59">
        <v>0</v>
      </c>
    </row>
    <row r="9" spans="1:8" ht="15">
      <c r="A9" s="320" t="s">
        <v>57</v>
      </c>
      <c r="B9" s="16">
        <f>Year0!I13</f>
        <v>0</v>
      </c>
      <c r="C9" s="16">
        <f>Year0!M13</f>
        <v>8</v>
      </c>
      <c r="D9" s="16">
        <f>Year0!P13</f>
        <v>8.4749230769230781</v>
      </c>
      <c r="E9" s="58">
        <f t="shared" si="0"/>
        <v>16.474923076923076</v>
      </c>
      <c r="F9" s="57"/>
      <c r="G9" s="320" t="s">
        <v>57</v>
      </c>
      <c r="H9" s="16">
        <f>Year0!N13</f>
        <v>1</v>
      </c>
    </row>
    <row r="10" spans="1:8" ht="15">
      <c r="A10" s="320" t="s">
        <v>28</v>
      </c>
      <c r="B10" s="16">
        <f>Year0!I25</f>
        <v>40.777485320991005</v>
      </c>
      <c r="C10" s="16">
        <f>Year0!M25</f>
        <v>47.73</v>
      </c>
      <c r="D10" s="16">
        <f>Year0!P25</f>
        <v>231.53828843076928</v>
      </c>
      <c r="E10" s="58">
        <f t="shared" si="0"/>
        <v>320.04577375176029</v>
      </c>
      <c r="F10" s="57"/>
      <c r="G10" s="320" t="s">
        <v>28</v>
      </c>
      <c r="H10" s="16">
        <f>Year0!N25</f>
        <v>27.320400000000003</v>
      </c>
    </row>
    <row r="11" spans="1:8" ht="15">
      <c r="A11" s="320" t="s">
        <v>105</v>
      </c>
      <c r="B11" s="16">
        <f>(Year0!I29)/4</f>
        <v>4.6198861455555562</v>
      </c>
      <c r="C11" s="16">
        <f>(Year0!M29)/4</f>
        <v>6</v>
      </c>
      <c r="D11" s="16">
        <f>(Year0!P29)/4</f>
        <v>3.1780961538461545</v>
      </c>
      <c r="E11" s="58">
        <f t="shared" si="0"/>
        <v>13.79798229940171</v>
      </c>
      <c r="F11" s="57"/>
      <c r="G11" s="320" t="s">
        <v>105</v>
      </c>
      <c r="H11" s="16">
        <f>(Year0!N29)/4</f>
        <v>0.375</v>
      </c>
    </row>
    <row r="12" spans="1:8" ht="15">
      <c r="A12" s="320" t="s">
        <v>108</v>
      </c>
      <c r="B12" s="16">
        <f>(Year0!I29)/4</f>
        <v>4.6198861455555562</v>
      </c>
      <c r="C12" s="16">
        <f>(Year0!M29)/4</f>
        <v>6</v>
      </c>
      <c r="D12" s="16">
        <f>(Year0!P29)/4</f>
        <v>3.1780961538461545</v>
      </c>
      <c r="E12" s="58">
        <f t="shared" si="0"/>
        <v>13.79798229940171</v>
      </c>
      <c r="F12" s="57"/>
      <c r="G12" s="320" t="s">
        <v>108</v>
      </c>
      <c r="H12" s="16">
        <f>(Year0!N29)/4</f>
        <v>0.375</v>
      </c>
    </row>
    <row r="13" spans="1:8" ht="15">
      <c r="A13" s="320" t="s">
        <v>110</v>
      </c>
      <c r="B13" s="16">
        <f>(Year0!I29)/4</f>
        <v>4.6198861455555562</v>
      </c>
      <c r="C13" s="16">
        <f>(Year0!M29)/4</f>
        <v>6</v>
      </c>
      <c r="D13" s="16">
        <f>(Year0!P29)/4</f>
        <v>3.1780961538461545</v>
      </c>
      <c r="E13" s="58">
        <f t="shared" si="0"/>
        <v>13.79798229940171</v>
      </c>
      <c r="F13" s="57"/>
      <c r="G13" s="320" t="s">
        <v>110</v>
      </c>
      <c r="H13" s="16">
        <f>(Year0!N29)/4</f>
        <v>0.375</v>
      </c>
    </row>
    <row r="14" spans="1:8" ht="15">
      <c r="A14" s="320" t="s">
        <v>112</v>
      </c>
      <c r="B14" s="16">
        <f>(Year0!I29)/4</f>
        <v>4.6198861455555562</v>
      </c>
      <c r="C14" s="16">
        <f>(Year0!M29)/4</f>
        <v>6</v>
      </c>
      <c r="D14" s="16">
        <f>(Year0!P29)/4</f>
        <v>3.1780961538461545</v>
      </c>
      <c r="E14" s="58">
        <f t="shared" si="0"/>
        <v>13.79798229940171</v>
      </c>
      <c r="F14" s="57"/>
      <c r="G14" s="320" t="s">
        <v>112</v>
      </c>
      <c r="H14" s="16">
        <f>(Year0!N29)/4</f>
        <v>0.375</v>
      </c>
    </row>
    <row r="15" spans="1:8" ht="15">
      <c r="A15" s="320" t="s">
        <v>27</v>
      </c>
      <c r="B15" s="16">
        <f>Year0!I32</f>
        <v>0</v>
      </c>
      <c r="C15" s="16">
        <f>Year0!M32</f>
        <v>6</v>
      </c>
      <c r="D15" s="16">
        <f>Year0!P32</f>
        <v>0</v>
      </c>
      <c r="E15" s="58">
        <f t="shared" si="0"/>
        <v>6</v>
      </c>
      <c r="F15" s="57"/>
      <c r="G15" s="320" t="s">
        <v>27</v>
      </c>
      <c r="H15" s="16">
        <f>Year0!N32</f>
        <v>0</v>
      </c>
    </row>
    <row r="16" spans="1:8" ht="15">
      <c r="A16" s="320" t="s">
        <v>0</v>
      </c>
      <c r="B16" s="16">
        <f>Year0!I35</f>
        <v>0</v>
      </c>
      <c r="C16" s="16">
        <f>Year0!M35</f>
        <v>6</v>
      </c>
      <c r="D16" s="16">
        <f>Year0!P35</f>
        <v>0</v>
      </c>
      <c r="E16" s="58">
        <f t="shared" si="0"/>
        <v>6</v>
      </c>
      <c r="F16" s="57"/>
      <c r="G16" s="320" t="s">
        <v>0</v>
      </c>
      <c r="H16" s="16">
        <f>Year0!N35</f>
        <v>0</v>
      </c>
    </row>
    <row r="17" spans="1:8" ht="15">
      <c r="A17" s="320" t="s">
        <v>3</v>
      </c>
      <c r="B17" s="16">
        <f>Year0!I41</f>
        <v>222.77914461916669</v>
      </c>
      <c r="C17" s="16">
        <f>Year0!M41</f>
        <v>5859.3</v>
      </c>
      <c r="D17" s="16">
        <f>Year0!P41</f>
        <v>1664.6999423076925</v>
      </c>
      <c r="E17" s="58">
        <f t="shared" si="0"/>
        <v>7746.7790869268592</v>
      </c>
      <c r="F17" s="57"/>
      <c r="G17" s="320" t="s">
        <v>3</v>
      </c>
      <c r="H17" s="16">
        <f>Year0!N41</f>
        <v>166.25</v>
      </c>
    </row>
    <row r="18" spans="1:8" ht="15">
      <c r="A18" s="320" t="s">
        <v>251</v>
      </c>
      <c r="B18" s="16">
        <f>Year0!I48</f>
        <v>0</v>
      </c>
      <c r="C18" s="16">
        <f>Year0!M48</f>
        <v>186</v>
      </c>
      <c r="D18" s="16">
        <f>Year0!P48</f>
        <v>0</v>
      </c>
      <c r="E18" s="58">
        <f t="shared" si="0"/>
        <v>186</v>
      </c>
      <c r="F18" s="57"/>
      <c r="G18" s="320" t="s">
        <v>259</v>
      </c>
      <c r="H18" s="16">
        <f>Year0!N52</f>
        <v>2.4</v>
      </c>
    </row>
    <row r="19" spans="1:8" ht="16.5" thickBot="1">
      <c r="A19" s="320" t="s">
        <v>259</v>
      </c>
      <c r="B19" s="16">
        <f>Year0!I52</f>
        <v>31.28</v>
      </c>
      <c r="C19" s="16">
        <f>Year0!M52</f>
        <v>70</v>
      </c>
      <c r="D19" s="16">
        <f>Year0!P52</f>
        <v>20.339815384615388</v>
      </c>
      <c r="E19" s="58">
        <f t="shared" si="0"/>
        <v>121.61981538461539</v>
      </c>
      <c r="F19" s="57"/>
      <c r="G19" s="329" t="s">
        <v>255</v>
      </c>
      <c r="H19" s="328">
        <f>SUM(H6:H18)</f>
        <v>203.27040000000002</v>
      </c>
    </row>
    <row r="20" spans="1:8" ht="16.5" thickBot="1">
      <c r="A20" s="281" t="s">
        <v>255</v>
      </c>
      <c r="B20" s="322">
        <f>SUM(B6:B19)</f>
        <v>313.31617452237992</v>
      </c>
      <c r="C20" s="322">
        <f>SUM(C6:C19)</f>
        <v>6232.03</v>
      </c>
      <c r="D20" s="322">
        <f>SUM(D6:D19)</f>
        <v>1978.4449845846154</v>
      </c>
      <c r="E20" s="322">
        <f>SUM(B20:D20)</f>
        <v>8523.7911591069951</v>
      </c>
      <c r="F20" s="60">
        <f>Year0!Q53</f>
        <v>8523.7911591069951</v>
      </c>
      <c r="G20" s="319" t="s">
        <v>252</v>
      </c>
      <c r="H20" s="320"/>
    </row>
    <row r="21" spans="1:8" ht="15.75">
      <c r="A21" s="319" t="s">
        <v>252</v>
      </c>
      <c r="B21" s="320"/>
      <c r="C21" s="320"/>
      <c r="D21" s="320"/>
      <c r="E21" s="320"/>
      <c r="F21" s="57"/>
      <c r="G21" s="320" t="s">
        <v>79</v>
      </c>
      <c r="H21" s="17">
        <f>Year1!N8</f>
        <v>0</v>
      </c>
    </row>
    <row r="22" spans="1:8" ht="15">
      <c r="A22" s="320" t="s">
        <v>79</v>
      </c>
      <c r="B22" s="17">
        <f>Year1!I8</f>
        <v>0</v>
      </c>
      <c r="C22" s="17">
        <f>Year1!M8</f>
        <v>6</v>
      </c>
      <c r="D22" s="17">
        <f>Year1!P8</f>
        <v>0</v>
      </c>
      <c r="E22" s="58">
        <f t="shared" ref="E22:E36" si="1">SUM(B22:D22)</f>
        <v>6</v>
      </c>
      <c r="F22" s="57"/>
      <c r="G22" s="320" t="s">
        <v>69</v>
      </c>
      <c r="H22" s="17">
        <f>Year1!N13</f>
        <v>9.8000000000000007</v>
      </c>
    </row>
    <row r="23" spans="1:8" ht="15">
      <c r="A23" s="320" t="s">
        <v>69</v>
      </c>
      <c r="B23" s="17">
        <f>Year1!I13</f>
        <v>0</v>
      </c>
      <c r="C23" s="17">
        <f>Year1!M13</f>
        <v>41.2</v>
      </c>
      <c r="D23" s="17">
        <f>Year1!P13</f>
        <v>83.054246153846165</v>
      </c>
      <c r="E23" s="58">
        <f t="shared" si="1"/>
        <v>124.25424615384617</v>
      </c>
      <c r="F23" s="57"/>
      <c r="G23" s="320" t="s">
        <v>84</v>
      </c>
      <c r="H23" s="17">
        <f>Year1!N22</f>
        <v>49.2</v>
      </c>
    </row>
    <row r="24" spans="1:8" ht="15">
      <c r="A24" s="320" t="s">
        <v>84</v>
      </c>
      <c r="B24" s="17">
        <f>Year1!I22</f>
        <v>216.9845955426</v>
      </c>
      <c r="C24" s="17">
        <f>Year1!M22</f>
        <v>390</v>
      </c>
      <c r="D24" s="17">
        <f>Year1!P22</f>
        <v>416.96621538461545</v>
      </c>
      <c r="E24" s="58">
        <f t="shared" si="1"/>
        <v>1023.9508109272155</v>
      </c>
      <c r="F24" s="57"/>
      <c r="G24" s="320" t="s">
        <v>57</v>
      </c>
      <c r="H24" s="17">
        <f>Year1!N34</f>
        <v>120.39999999999999</v>
      </c>
    </row>
    <row r="25" spans="1:8" ht="15">
      <c r="A25" s="320" t="s">
        <v>57</v>
      </c>
      <c r="B25" s="17">
        <f>Year1!I34</f>
        <v>127.26368062788889</v>
      </c>
      <c r="C25" s="17">
        <f>Year1!M34</f>
        <v>385.44</v>
      </c>
      <c r="D25" s="17">
        <f>Year1!P34</f>
        <v>1022.4199030769233</v>
      </c>
      <c r="E25" s="58">
        <f t="shared" si="1"/>
        <v>1535.1235837048121</v>
      </c>
      <c r="F25" s="57"/>
      <c r="G25" s="320" t="s">
        <v>28</v>
      </c>
      <c r="H25" s="17">
        <f>Year1!N41</f>
        <v>5.0999999999999996</v>
      </c>
    </row>
    <row r="26" spans="1:8" ht="15">
      <c r="A26" s="320" t="s">
        <v>28</v>
      </c>
      <c r="B26" s="17">
        <f>Year1!I41</f>
        <v>56.843001512888883</v>
      </c>
      <c r="C26" s="17">
        <f>Year1!M41</f>
        <v>31.19</v>
      </c>
      <c r="D26" s="17">
        <f>Year1!P41</f>
        <v>43.222107692307695</v>
      </c>
      <c r="E26" s="58">
        <f t="shared" si="1"/>
        <v>131.25510920519659</v>
      </c>
      <c r="F26" s="57"/>
      <c r="G26" s="320" t="s">
        <v>105</v>
      </c>
      <c r="H26" s="17">
        <f>Year1!N46</f>
        <v>4.5999999999999996</v>
      </c>
    </row>
    <row r="27" spans="1:8" ht="15">
      <c r="A27" s="320" t="s">
        <v>105</v>
      </c>
      <c r="B27" s="17">
        <f>Year1!I46</f>
        <v>403.00128727288882</v>
      </c>
      <c r="C27" s="17">
        <f>Year1!M46</f>
        <v>6</v>
      </c>
      <c r="D27" s="17">
        <f>Year1!P46</f>
        <v>38.984646153846157</v>
      </c>
      <c r="E27" s="58">
        <f t="shared" si="1"/>
        <v>447.98593342673496</v>
      </c>
      <c r="F27" s="57"/>
      <c r="G27" s="320" t="s">
        <v>108</v>
      </c>
      <c r="H27" s="17">
        <f>Year1!N51</f>
        <v>6.2</v>
      </c>
    </row>
    <row r="28" spans="1:8" ht="15">
      <c r="A28" s="320" t="s">
        <v>108</v>
      </c>
      <c r="B28" s="17">
        <f>Year1!I51</f>
        <v>509.29547246577772</v>
      </c>
      <c r="C28" s="17">
        <f>Year1!M51</f>
        <v>6</v>
      </c>
      <c r="D28" s="17">
        <f>Year1!P51</f>
        <v>52.544523076923085</v>
      </c>
      <c r="E28" s="58">
        <f t="shared" si="1"/>
        <v>567.83999554270076</v>
      </c>
      <c r="F28" s="57"/>
      <c r="G28" s="320" t="s">
        <v>110</v>
      </c>
      <c r="H28" s="17">
        <f>Year1!N62</f>
        <v>104.6</v>
      </c>
    </row>
    <row r="29" spans="1:8" ht="15">
      <c r="A29" s="320" t="s">
        <v>110</v>
      </c>
      <c r="B29" s="17">
        <f>Year1!I62</f>
        <v>404.38795393955547</v>
      </c>
      <c r="C29" s="17">
        <f>Year1!M62</f>
        <v>506</v>
      </c>
      <c r="D29" s="17">
        <f>Year1!P62</f>
        <v>1691.5946461538465</v>
      </c>
      <c r="E29" s="58">
        <f t="shared" si="1"/>
        <v>2601.9826000934017</v>
      </c>
      <c r="F29" s="57"/>
      <c r="G29" s="320" t="s">
        <v>112</v>
      </c>
      <c r="H29" s="17">
        <f>Year1!N72</f>
        <v>101.10039999999999</v>
      </c>
    </row>
    <row r="30" spans="1:8" ht="15">
      <c r="A30" s="320" t="s">
        <v>112</v>
      </c>
      <c r="B30" s="17">
        <f>Year1!I72</f>
        <v>14.651569137746556</v>
      </c>
      <c r="C30" s="17">
        <f>Year1!M72</f>
        <v>509.52</v>
      </c>
      <c r="D30" s="17">
        <f>Year1!P72</f>
        <v>856.81811304615394</v>
      </c>
      <c r="E30" s="58">
        <f t="shared" si="1"/>
        <v>1380.9896821839006</v>
      </c>
      <c r="F30" s="57"/>
      <c r="G30" s="320" t="s">
        <v>27</v>
      </c>
      <c r="H30" s="17">
        <f>Year1!N75</f>
        <v>0</v>
      </c>
    </row>
    <row r="31" spans="1:8" ht="15">
      <c r="A31" s="320" t="s">
        <v>27</v>
      </c>
      <c r="B31" s="17">
        <f>Year1!I75</f>
        <v>0</v>
      </c>
      <c r="C31" s="17">
        <f>Year1!J74</f>
        <v>6</v>
      </c>
      <c r="D31" s="17">
        <f>Year1!P75</f>
        <v>0</v>
      </c>
      <c r="E31" s="58">
        <f t="shared" si="1"/>
        <v>6</v>
      </c>
      <c r="F31" s="57"/>
      <c r="G31" s="320" t="s">
        <v>0</v>
      </c>
      <c r="H31" s="17">
        <f>Year1!N75</f>
        <v>0</v>
      </c>
    </row>
    <row r="32" spans="1:8" ht="15">
      <c r="A32" s="320" t="s">
        <v>0</v>
      </c>
      <c r="B32" s="17">
        <f>Year1!I75</f>
        <v>0</v>
      </c>
      <c r="C32" s="17">
        <f>Year1!J74</f>
        <v>6</v>
      </c>
      <c r="D32" s="17">
        <f>Year1!P75</f>
        <v>0</v>
      </c>
      <c r="E32" s="58">
        <f t="shared" si="1"/>
        <v>6</v>
      </c>
      <c r="F32" s="57"/>
      <c r="G32" s="320" t="s">
        <v>3</v>
      </c>
      <c r="H32" s="17">
        <f>Year1!N75</f>
        <v>0</v>
      </c>
    </row>
    <row r="33" spans="1:8" ht="15" customHeight="1">
      <c r="A33" s="320" t="s">
        <v>3</v>
      </c>
      <c r="B33" s="17">
        <f>Year1!I75</f>
        <v>0</v>
      </c>
      <c r="C33" s="17">
        <f>Year1!J74</f>
        <v>6</v>
      </c>
      <c r="D33" s="17">
        <f>Year1!P75</f>
        <v>0</v>
      </c>
      <c r="E33" s="58">
        <f t="shared" si="1"/>
        <v>6</v>
      </c>
      <c r="F33" s="57"/>
      <c r="G33" s="321" t="s">
        <v>259</v>
      </c>
      <c r="H33" s="17">
        <f>Year1!N87</f>
        <v>6</v>
      </c>
    </row>
    <row r="34" spans="1:8" ht="15" customHeight="1">
      <c r="A34" s="320" t="s">
        <v>251</v>
      </c>
      <c r="B34" s="17">
        <f>Year1!I83</f>
        <v>0</v>
      </c>
      <c r="C34" s="17">
        <f>Year1!M83</f>
        <v>351.64</v>
      </c>
      <c r="D34" s="17">
        <f>Year1!P83</f>
        <v>0</v>
      </c>
      <c r="E34" s="58">
        <f t="shared" si="1"/>
        <v>351.64</v>
      </c>
      <c r="F34" s="57"/>
      <c r="G34" s="327" t="s">
        <v>256</v>
      </c>
      <c r="H34" s="328">
        <f>SUM(H21:H33)</f>
        <v>407.00039999999996</v>
      </c>
    </row>
    <row r="35" spans="1:8" ht="15" customHeight="1" thickBot="1">
      <c r="A35" s="321" t="s">
        <v>259</v>
      </c>
      <c r="B35" s="17">
        <f>Year1!I87</f>
        <v>78.2</v>
      </c>
      <c r="C35" s="17">
        <f>Year1!M87</f>
        <v>70</v>
      </c>
      <c r="D35" s="17">
        <f>Year1!P87</f>
        <v>50.849538461538472</v>
      </c>
      <c r="E35" s="58">
        <f t="shared" si="1"/>
        <v>199.04953846153848</v>
      </c>
      <c r="F35" s="57"/>
      <c r="G35" s="319" t="s">
        <v>253</v>
      </c>
      <c r="H35" s="320"/>
    </row>
    <row r="36" spans="1:8" ht="16.5" thickBot="1">
      <c r="A36" s="282" t="s">
        <v>256</v>
      </c>
      <c r="B36" s="322">
        <f>SUM(B22:B35)</f>
        <v>1810.6275604993464</v>
      </c>
      <c r="C36" s="322">
        <f>SUM(C22:C35)</f>
        <v>2320.9899999999998</v>
      </c>
      <c r="D36" s="322">
        <f>SUM(D22:D35)</f>
        <v>4256.4539392000006</v>
      </c>
      <c r="E36" s="322">
        <f t="shared" si="1"/>
        <v>8388.0714996993465</v>
      </c>
      <c r="F36" s="60">
        <f>Year1!Q88</f>
        <v>8388.0714996993465</v>
      </c>
      <c r="G36" s="320" t="s">
        <v>79</v>
      </c>
      <c r="H36" s="16">
        <f>Year2!O15</f>
        <v>6.8</v>
      </c>
    </row>
    <row r="37" spans="1:8" ht="15.75">
      <c r="A37" s="319" t="s">
        <v>253</v>
      </c>
      <c r="B37" s="320"/>
      <c r="C37" s="320"/>
      <c r="D37" s="320"/>
      <c r="E37" s="320"/>
      <c r="F37" s="57"/>
      <c r="G37" s="320" t="s">
        <v>69</v>
      </c>
      <c r="H37" s="16">
        <f>Year2!O22</f>
        <v>36.500399999999999</v>
      </c>
    </row>
    <row r="38" spans="1:8" ht="15">
      <c r="A38" s="320" t="s">
        <v>79</v>
      </c>
      <c r="B38" s="16">
        <f>Year2!J15</f>
        <v>6.9333333333333327</v>
      </c>
      <c r="C38" s="16">
        <f>Year2!N15</f>
        <v>7229.5</v>
      </c>
      <c r="D38" s="16">
        <f>Year2!Q15</f>
        <v>72.12360000000001</v>
      </c>
      <c r="E38" s="58">
        <f t="shared" ref="E38:E52" si="2">SUM(B38:D38)</f>
        <v>7308.5569333333333</v>
      </c>
      <c r="F38" s="57"/>
      <c r="G38" s="320" t="s">
        <v>84</v>
      </c>
      <c r="H38" s="16">
        <f>Year2!O41</f>
        <v>93.001999999999995</v>
      </c>
    </row>
    <row r="39" spans="1:8" ht="15">
      <c r="A39" s="320" t="s">
        <v>69</v>
      </c>
      <c r="B39" s="16">
        <f>Year2!J22</f>
        <v>10.829681640082667</v>
      </c>
      <c r="C39" s="16">
        <f>Year2!N22</f>
        <v>131</v>
      </c>
      <c r="D39" s="16">
        <f>Year2!Q22</f>
        <v>309.33808227692316</v>
      </c>
      <c r="E39" s="58">
        <f t="shared" si="2"/>
        <v>451.1677639170058</v>
      </c>
      <c r="F39" s="57"/>
      <c r="G39" s="320" t="s">
        <v>57</v>
      </c>
      <c r="H39" s="16">
        <f>Year2!O53</f>
        <v>3.2399304347826083</v>
      </c>
    </row>
    <row r="40" spans="1:8" ht="15">
      <c r="A40" s="320" t="s">
        <v>84</v>
      </c>
      <c r="B40" s="16">
        <f>Year2!J41</f>
        <v>84.277849697229996</v>
      </c>
      <c r="C40" s="16">
        <f>Year2!N41</f>
        <v>141.59061730994532</v>
      </c>
      <c r="D40" s="16">
        <f>Year2!Q41</f>
        <v>788.18479600000023</v>
      </c>
      <c r="E40" s="58">
        <f t="shared" si="2"/>
        <v>1014.0532630071755</v>
      </c>
      <c r="F40" s="57"/>
      <c r="G40" s="320" t="s">
        <v>28</v>
      </c>
      <c r="H40" s="16">
        <f>Year2!O72</f>
        <v>8.6015999999999995</v>
      </c>
    </row>
    <row r="41" spans="1:8" ht="15">
      <c r="A41" s="320" t="s">
        <v>57</v>
      </c>
      <c r="B41" s="16">
        <f>Year2!J53</f>
        <v>64.177213626832</v>
      </c>
      <c r="C41" s="16">
        <f>Year2!N53</f>
        <v>279.89999999999998</v>
      </c>
      <c r="D41" s="16">
        <f>Year2!Q53</f>
        <v>27.458161209364555</v>
      </c>
      <c r="E41" s="58">
        <f t="shared" si="2"/>
        <v>371.53537483619652</v>
      </c>
      <c r="F41" s="57"/>
      <c r="G41" s="320" t="s">
        <v>105</v>
      </c>
      <c r="H41" s="16">
        <f>Year2!O95</f>
        <v>40.361200000000004</v>
      </c>
    </row>
    <row r="42" spans="1:8" ht="15">
      <c r="A42" s="320" t="s">
        <v>28</v>
      </c>
      <c r="B42" s="16">
        <f>Year2!J72</f>
        <v>574.19609740655289</v>
      </c>
      <c r="C42" s="16">
        <f>Year2!N72</f>
        <v>407.01584865497267</v>
      </c>
      <c r="D42" s="16">
        <f>Year2!Q72</f>
        <v>72.762944492307696</v>
      </c>
      <c r="E42" s="58">
        <f t="shared" si="2"/>
        <v>1053.9748905538333</v>
      </c>
      <c r="F42" s="57"/>
      <c r="G42" s="320" t="s">
        <v>108</v>
      </c>
      <c r="H42" s="16">
        <f>Year2!O117</f>
        <v>68.711199999999991</v>
      </c>
    </row>
    <row r="43" spans="1:8" ht="15">
      <c r="A43" s="320" t="s">
        <v>105</v>
      </c>
      <c r="B43" s="16">
        <f>Year2!J95</f>
        <v>839.43643578249043</v>
      </c>
      <c r="C43" s="16">
        <f>Year2!N95</f>
        <v>524.46</v>
      </c>
      <c r="D43" s="16">
        <f>Year2!Q95</f>
        <v>3311.1062519589746</v>
      </c>
      <c r="E43" s="58">
        <f t="shared" si="2"/>
        <v>4675.0026877414648</v>
      </c>
      <c r="F43" s="57"/>
      <c r="G43" s="320" t="s">
        <v>110</v>
      </c>
      <c r="H43" s="16">
        <f>Year2!O134</f>
        <v>155.44999999999999</v>
      </c>
    </row>
    <row r="44" spans="1:8" ht="15">
      <c r="A44" s="320" t="s">
        <v>108</v>
      </c>
      <c r="B44" s="16">
        <f>Year2!J117</f>
        <v>944.51076477645938</v>
      </c>
      <c r="C44" s="16">
        <f>Year2!N117</f>
        <v>104.11584865497267</v>
      </c>
      <c r="D44" s="16">
        <f>Year2!Q117</f>
        <v>3551.6402288820514</v>
      </c>
      <c r="E44" s="58">
        <f t="shared" si="2"/>
        <v>4600.2668423134837</v>
      </c>
      <c r="F44" s="57"/>
      <c r="G44" s="320" t="s">
        <v>112</v>
      </c>
      <c r="H44" s="16">
        <f>Year2!O141</f>
        <v>100</v>
      </c>
    </row>
    <row r="45" spans="1:8" ht="15">
      <c r="A45" s="320" t="s">
        <v>110</v>
      </c>
      <c r="B45" s="16">
        <f>Year2!J134</f>
        <v>824.57616630870473</v>
      </c>
      <c r="C45" s="16">
        <f>Year2!N134</f>
        <v>206</v>
      </c>
      <c r="D45" s="16">
        <f>Year2!Q134</f>
        <v>4290.1519589743593</v>
      </c>
      <c r="E45" s="58">
        <f t="shared" si="2"/>
        <v>5320.7281252830635</v>
      </c>
      <c r="F45" s="57"/>
      <c r="G45" s="320" t="s">
        <v>27</v>
      </c>
      <c r="H45" s="16">
        <f>Year2!O144</f>
        <v>0</v>
      </c>
    </row>
    <row r="46" spans="1:8" ht="15">
      <c r="A46" s="320" t="s">
        <v>112</v>
      </c>
      <c r="B46" s="16">
        <f>Year2!J141</f>
        <v>1.3866666666666665</v>
      </c>
      <c r="C46" s="16">
        <f>Year2!N141</f>
        <v>206</v>
      </c>
      <c r="D46" s="16">
        <f>Year2!Q141</f>
        <v>847.4923076923078</v>
      </c>
      <c r="E46" s="58">
        <f t="shared" si="2"/>
        <v>1054.8789743589746</v>
      </c>
      <c r="F46" s="57"/>
      <c r="G46" s="320" t="s">
        <v>0</v>
      </c>
      <c r="H46" s="16">
        <f>Year2!O150</f>
        <v>20.500399999999999</v>
      </c>
    </row>
    <row r="47" spans="1:8" ht="15">
      <c r="A47" s="320" t="s">
        <v>27</v>
      </c>
      <c r="B47" s="16">
        <f>Year2!J144</f>
        <v>0</v>
      </c>
      <c r="C47" s="16">
        <f>Year2!N144</f>
        <v>6</v>
      </c>
      <c r="D47" s="16">
        <f>Year2!Q144</f>
        <v>0</v>
      </c>
      <c r="E47" s="58">
        <f t="shared" si="2"/>
        <v>6</v>
      </c>
      <c r="F47" s="57"/>
      <c r="G47" s="320" t="s">
        <v>3</v>
      </c>
      <c r="H47" s="16">
        <f>Year2!O157</f>
        <v>1.0007999999999999</v>
      </c>
    </row>
    <row r="48" spans="1:8" ht="15">
      <c r="A48" s="320" t="s">
        <v>0</v>
      </c>
      <c r="B48" s="16">
        <f>Year2!J150</f>
        <v>5.873084638191</v>
      </c>
      <c r="C48" s="16">
        <f>Year2!N150</f>
        <v>9.52</v>
      </c>
      <c r="D48" s="16">
        <f>Year2!Q150</f>
        <v>173.73931304615385</v>
      </c>
      <c r="E48" s="58">
        <f t="shared" si="2"/>
        <v>189.13239768434485</v>
      </c>
      <c r="F48" s="57"/>
      <c r="G48" s="320" t="s">
        <v>259</v>
      </c>
      <c r="H48" s="16">
        <f>Year2!O169</f>
        <v>6</v>
      </c>
    </row>
    <row r="49" spans="1:8" ht="15.75">
      <c r="A49" s="320" t="s">
        <v>3</v>
      </c>
      <c r="B49" s="16">
        <f>Year2!J157</f>
        <v>11.746169276382</v>
      </c>
      <c r="C49" s="16">
        <f>Year2!N157</f>
        <v>103.25</v>
      </c>
      <c r="D49" s="16">
        <f>Year2!Q157</f>
        <v>8.4817030153846158</v>
      </c>
      <c r="E49" s="58">
        <f t="shared" si="2"/>
        <v>123.47787229176662</v>
      </c>
      <c r="F49" s="57"/>
      <c r="G49" s="280" t="s">
        <v>257</v>
      </c>
      <c r="H49" s="326">
        <f>SUM(H36:H48)</f>
        <v>540.16753043478263</v>
      </c>
    </row>
    <row r="50" spans="1:8" ht="15.75">
      <c r="A50" s="320" t="s">
        <v>251</v>
      </c>
      <c r="B50" s="16">
        <f>Year2!J165</f>
        <v>0</v>
      </c>
      <c r="C50" s="16">
        <f>Year2!N165</f>
        <v>1022.04</v>
      </c>
      <c r="D50" s="16">
        <f>Year2!Q165</f>
        <v>0</v>
      </c>
      <c r="E50" s="58">
        <f t="shared" si="2"/>
        <v>1022.04</v>
      </c>
      <c r="F50" s="57"/>
      <c r="G50" s="319" t="s">
        <v>254</v>
      </c>
      <c r="H50" s="320"/>
    </row>
    <row r="51" spans="1:8" ht="15.75" thickBot="1">
      <c r="A51" s="320" t="s">
        <v>259</v>
      </c>
      <c r="B51" s="16">
        <f>Year2!J169</f>
        <v>78.2</v>
      </c>
      <c r="C51" s="16">
        <f>Year2!N169</f>
        <v>70</v>
      </c>
      <c r="D51" s="16">
        <f>Year2!Q169</f>
        <v>50.849538461538472</v>
      </c>
      <c r="E51" s="58">
        <f t="shared" si="2"/>
        <v>199.04953846153848</v>
      </c>
      <c r="F51" s="57"/>
      <c r="G51" s="320" t="s">
        <v>79</v>
      </c>
      <c r="H51" s="16">
        <f>Year3!O15</f>
        <v>38</v>
      </c>
    </row>
    <row r="52" spans="1:8" ht="16.5" thickBot="1">
      <c r="A52" s="283" t="s">
        <v>257</v>
      </c>
      <c r="B52" s="282">
        <f>SUM(B38:B51)</f>
        <v>3446.1434631529246</v>
      </c>
      <c r="C52" s="282">
        <f>SUM(C38:C51)</f>
        <v>10440.39231461989</v>
      </c>
      <c r="D52" s="282">
        <f>SUM(D38:D51)</f>
        <v>13503.328886009365</v>
      </c>
      <c r="E52" s="282">
        <f t="shared" si="2"/>
        <v>27389.86466378218</v>
      </c>
      <c r="F52" s="60">
        <f>Year2!R170</f>
        <v>27389.86466378218</v>
      </c>
      <c r="G52" s="320" t="s">
        <v>69</v>
      </c>
      <c r="H52" s="16">
        <f>Year3!O22</f>
        <v>23.3004</v>
      </c>
    </row>
    <row r="53" spans="1:8" ht="15.75">
      <c r="A53" s="319" t="s">
        <v>254</v>
      </c>
      <c r="B53" s="320"/>
      <c r="C53" s="320"/>
      <c r="D53" s="320"/>
      <c r="E53" s="320"/>
      <c r="G53" s="320" t="s">
        <v>84</v>
      </c>
      <c r="H53" s="16">
        <f>Year3!O40</f>
        <v>13.001999999999999</v>
      </c>
    </row>
    <row r="54" spans="1:8" ht="15">
      <c r="A54" s="320" t="s">
        <v>79</v>
      </c>
      <c r="B54" s="16">
        <f>Year3!J15</f>
        <v>10.399999999999999</v>
      </c>
      <c r="C54" s="16">
        <f>Year3!N15</f>
        <v>8272.8333333333339</v>
      </c>
      <c r="D54" s="16">
        <f>Year3!Q15</f>
        <v>336.54120000000006</v>
      </c>
      <c r="E54" s="59">
        <f>SUM(B54:D54)</f>
        <v>8619.7745333333332</v>
      </c>
      <c r="F54" s="57"/>
      <c r="G54" s="320" t="s">
        <v>57</v>
      </c>
      <c r="H54" s="16">
        <f>Year3!O52</f>
        <v>3.5007999999999999</v>
      </c>
    </row>
    <row r="55" spans="1:8" ht="15">
      <c r="A55" s="320" t="s">
        <v>69</v>
      </c>
      <c r="B55" s="16">
        <f>Year3!J22</f>
        <v>12.563014973415999</v>
      </c>
      <c r="C55" s="16">
        <f>Year3!N22</f>
        <v>131</v>
      </c>
      <c r="D55" s="16">
        <f>Year3!Q22</f>
        <v>197.46909766153848</v>
      </c>
      <c r="E55" s="59">
        <f t="shared" ref="E55:E62" si="3">SUM(B55:D55)</f>
        <v>341.0321126349545</v>
      </c>
      <c r="F55" s="57"/>
      <c r="G55" s="320" t="s">
        <v>28</v>
      </c>
      <c r="H55" s="16">
        <f>Year3!O71</f>
        <v>8.6015999999999995</v>
      </c>
    </row>
    <row r="56" spans="1:8" ht="15">
      <c r="A56" s="320" t="s">
        <v>84</v>
      </c>
      <c r="B56" s="16">
        <f>Year3!J40</f>
        <v>84.277849697229996</v>
      </c>
      <c r="C56" s="16">
        <f>Year3!N40</f>
        <v>141.59061730994532</v>
      </c>
      <c r="D56" s="16">
        <f>Year3!Q40</f>
        <v>110.19094984615387</v>
      </c>
      <c r="E56" s="59">
        <f t="shared" si="3"/>
        <v>336.05941685332914</v>
      </c>
      <c r="F56" s="57"/>
      <c r="G56" s="320" t="s">
        <v>105</v>
      </c>
      <c r="H56" s="16">
        <f>Year3!O94</f>
        <v>40.361200000000004</v>
      </c>
    </row>
    <row r="57" spans="1:8" ht="15">
      <c r="A57" s="320" t="s">
        <v>57</v>
      </c>
      <c r="B57" s="16">
        <f>Year3!J52</f>
        <v>64.177213626832</v>
      </c>
      <c r="C57" s="16">
        <f>Year3!N52</f>
        <v>295.5</v>
      </c>
      <c r="D57" s="16">
        <f>Year3!Q52</f>
        <v>29.669010707692312</v>
      </c>
      <c r="E57" s="59">
        <f t="shared" si="3"/>
        <v>389.34622433452432</v>
      </c>
      <c r="F57" s="57"/>
      <c r="G57" s="320" t="s">
        <v>108</v>
      </c>
      <c r="H57" s="16">
        <f>Year3!O116</f>
        <v>68.761200000000002</v>
      </c>
    </row>
    <row r="58" spans="1:8" ht="16.5" customHeight="1">
      <c r="A58" s="320" t="s">
        <v>28</v>
      </c>
      <c r="B58" s="16">
        <f>Year3!J71</f>
        <v>580.80689820655277</v>
      </c>
      <c r="C58" s="16">
        <f>Year3!N71</f>
        <v>428.11584865497264</v>
      </c>
      <c r="D58" s="16">
        <f>Year3!Q71</f>
        <v>72.762944492307696</v>
      </c>
      <c r="E58" s="59">
        <f t="shared" si="3"/>
        <v>1081.6856913538331</v>
      </c>
      <c r="F58" s="57"/>
      <c r="G58" s="320" t="s">
        <v>110</v>
      </c>
      <c r="H58" s="16">
        <f>Year3!O133</f>
        <v>157.76</v>
      </c>
    </row>
    <row r="59" spans="1:8" ht="15">
      <c r="A59" s="320" t="s">
        <v>105</v>
      </c>
      <c r="B59" s="16">
        <f>Year3!J94</f>
        <v>844.72507642249025</v>
      </c>
      <c r="C59" s="16">
        <f>Year3!N94</f>
        <v>524.46</v>
      </c>
      <c r="D59" s="16">
        <f>Year3!Q94</f>
        <v>3783.3284741811967</v>
      </c>
      <c r="E59" s="59">
        <f t="shared" si="3"/>
        <v>5152.5135506036868</v>
      </c>
      <c r="F59" s="57"/>
      <c r="G59" s="320" t="s">
        <v>112</v>
      </c>
      <c r="H59" s="16">
        <f>Year3!O140</f>
        <v>100</v>
      </c>
    </row>
    <row r="60" spans="1:8" ht="15">
      <c r="A60" s="320" t="s">
        <v>108</v>
      </c>
      <c r="B60" s="16">
        <f>Year3!J116</f>
        <v>951.12156557645937</v>
      </c>
      <c r="C60" s="16">
        <f>Year3!N116</f>
        <v>104.11584865497267</v>
      </c>
      <c r="D60" s="16">
        <f>Year3!Q116</f>
        <v>4024.28619725812</v>
      </c>
      <c r="E60" s="59">
        <f t="shared" si="3"/>
        <v>5079.5236114895524</v>
      </c>
      <c r="F60" s="57"/>
      <c r="G60" s="320" t="s">
        <v>27</v>
      </c>
      <c r="H60" s="16">
        <f>Year3!O143</f>
        <v>0</v>
      </c>
    </row>
    <row r="61" spans="1:8" ht="15">
      <c r="A61" s="320" t="s">
        <v>110</v>
      </c>
      <c r="B61" s="16">
        <f>Year3!J133</f>
        <v>842.95681996287794</v>
      </c>
      <c r="C61" s="16">
        <f>Year3!N133</f>
        <v>206</v>
      </c>
      <c r="D61" s="16">
        <f>Year3!Q133</f>
        <v>4778.5441811965811</v>
      </c>
      <c r="E61" s="59">
        <f t="shared" si="3"/>
        <v>5827.5010011594586</v>
      </c>
      <c r="F61" s="57"/>
      <c r="G61" s="320" t="s">
        <v>0</v>
      </c>
      <c r="H61" s="16">
        <f>Year3!O149</f>
        <v>20.500399999999999</v>
      </c>
    </row>
    <row r="62" spans="1:8" ht="15">
      <c r="A62" s="320" t="s">
        <v>112</v>
      </c>
      <c r="B62" s="16">
        <f>Year3!J140</f>
        <v>10.404999999999999</v>
      </c>
      <c r="C62" s="16">
        <f>Year3!N140</f>
        <v>206</v>
      </c>
      <c r="D62" s="16">
        <f>Year3!Q140</f>
        <v>847.4923076923078</v>
      </c>
      <c r="E62" s="59">
        <f t="shared" si="3"/>
        <v>1063.8973076923078</v>
      </c>
      <c r="F62" s="57"/>
      <c r="G62" s="320" t="s">
        <v>3</v>
      </c>
      <c r="H62" s="16">
        <f>Year3!O156</f>
        <v>1.0007999999999999</v>
      </c>
    </row>
    <row r="63" spans="1:8" ht="15">
      <c r="A63" s="320" t="s">
        <v>27</v>
      </c>
      <c r="B63" s="16">
        <f>Year3!J143</f>
        <v>0</v>
      </c>
      <c r="C63" s="16">
        <f>Year3!N143</f>
        <v>6</v>
      </c>
      <c r="D63" s="16">
        <f>Year3!Q143</f>
        <v>0</v>
      </c>
      <c r="E63" s="59">
        <f t="shared" ref="E63:E68" si="4">SUM(B63:D63)</f>
        <v>6</v>
      </c>
      <c r="F63" s="57"/>
      <c r="G63" s="320" t="s">
        <v>259</v>
      </c>
      <c r="H63" s="16">
        <f>Year3!O168</f>
        <v>6</v>
      </c>
    </row>
    <row r="64" spans="1:8" ht="15.75">
      <c r="A64" s="320" t="s">
        <v>0</v>
      </c>
      <c r="B64" s="16">
        <f>Year3!J149</f>
        <v>5.873084638191</v>
      </c>
      <c r="C64" s="16">
        <f>Year3!N149</f>
        <v>9.52</v>
      </c>
      <c r="D64" s="16">
        <f>Year3!Q149</f>
        <v>173.73931304615385</v>
      </c>
      <c r="E64" s="59">
        <f t="shared" si="4"/>
        <v>189.13239768434485</v>
      </c>
      <c r="F64" s="57"/>
      <c r="G64" s="280" t="s">
        <v>258</v>
      </c>
      <c r="H64" s="326">
        <f>SUM(H51:H63)</f>
        <v>480.78840000000002</v>
      </c>
    </row>
    <row r="65" spans="1:6" ht="15">
      <c r="A65" s="320" t="s">
        <v>3</v>
      </c>
      <c r="B65" s="16">
        <f>Year3!J156</f>
        <v>11.746169276382</v>
      </c>
      <c r="C65" s="16">
        <f>Year3!N156</f>
        <v>103.25</v>
      </c>
      <c r="D65" s="16">
        <f>Year3!Q156</f>
        <v>8.4817030153846158</v>
      </c>
      <c r="E65" s="59">
        <f t="shared" si="4"/>
        <v>123.47787229176662</v>
      </c>
      <c r="F65" s="57"/>
    </row>
    <row r="66" spans="1:6" ht="15">
      <c r="A66" s="320" t="s">
        <v>251</v>
      </c>
      <c r="B66" s="16">
        <f>Year3!J164</f>
        <v>0</v>
      </c>
      <c r="C66" s="16">
        <f>Year3!N164</f>
        <v>1022.04</v>
      </c>
      <c r="D66" s="16">
        <f>Year3!Q164</f>
        <v>0</v>
      </c>
      <c r="E66" s="59">
        <f t="shared" si="4"/>
        <v>1022.04</v>
      </c>
      <c r="F66" s="57"/>
    </row>
    <row r="67" spans="1:6" ht="15.75" thickBot="1">
      <c r="A67" s="320" t="s">
        <v>259</v>
      </c>
      <c r="B67" s="16">
        <f>Year3!J168</f>
        <v>78.2</v>
      </c>
      <c r="C67" s="16">
        <f>Year3!N168</f>
        <v>70</v>
      </c>
      <c r="D67" s="16">
        <f>Year3!Q168</f>
        <v>50.849538461538472</v>
      </c>
      <c r="E67" s="59">
        <f t="shared" si="4"/>
        <v>199.04953846153848</v>
      </c>
    </row>
    <row r="68" spans="1:6" ht="16.5" thickBot="1">
      <c r="A68" s="283" t="s">
        <v>258</v>
      </c>
      <c r="B68" s="282">
        <f>SUM(B54:B67)</f>
        <v>3497.2526923804312</v>
      </c>
      <c r="C68" s="282">
        <f>SUM(C54:C67)</f>
        <v>11520.425647953223</v>
      </c>
      <c r="D68" s="282">
        <f>SUM(D54:D67)</f>
        <v>14413.354917558974</v>
      </c>
      <c r="E68" s="282">
        <f t="shared" si="4"/>
        <v>29431.033257892628</v>
      </c>
      <c r="F68" s="60">
        <f>Year3!R169</f>
        <v>29331.033257892632</v>
      </c>
    </row>
    <row r="69" spans="1:6" ht="16.5" thickBot="1">
      <c r="A69" s="324" t="s">
        <v>203</v>
      </c>
      <c r="B69" s="325">
        <f t="shared" ref="B69:D74" si="5">B68</f>
        <v>3497.2526923804312</v>
      </c>
      <c r="C69" s="325">
        <f t="shared" si="5"/>
        <v>11520.425647953223</v>
      </c>
      <c r="D69" s="325">
        <f t="shared" si="5"/>
        <v>14413.354917558974</v>
      </c>
      <c r="E69" s="325">
        <f t="shared" ref="E69:E74" si="6">SUM(B69:D69)</f>
        <v>29431.033257892628</v>
      </c>
    </row>
    <row r="70" spans="1:6" ht="17.25" thickTop="1" thickBot="1">
      <c r="A70" s="324" t="s">
        <v>204</v>
      </c>
      <c r="B70" s="325">
        <f t="shared" si="5"/>
        <v>3497.2526923804312</v>
      </c>
      <c r="C70" s="325">
        <f t="shared" si="5"/>
        <v>11520.425647953223</v>
      </c>
      <c r="D70" s="325">
        <f t="shared" si="5"/>
        <v>14413.354917558974</v>
      </c>
      <c r="E70" s="325">
        <f t="shared" si="6"/>
        <v>29431.033257892628</v>
      </c>
    </row>
    <row r="71" spans="1:6" ht="17.25" thickTop="1" thickBot="1">
      <c r="A71" s="324" t="s">
        <v>205</v>
      </c>
      <c r="B71" s="325">
        <f t="shared" si="5"/>
        <v>3497.2526923804312</v>
      </c>
      <c r="C71" s="325">
        <f t="shared" si="5"/>
        <v>11520.425647953223</v>
      </c>
      <c r="D71" s="325">
        <f t="shared" si="5"/>
        <v>14413.354917558974</v>
      </c>
      <c r="E71" s="325">
        <f t="shared" si="6"/>
        <v>29431.033257892628</v>
      </c>
    </row>
    <row r="72" spans="1:6" ht="17.25" thickTop="1" thickBot="1">
      <c r="A72" s="324" t="s">
        <v>206</v>
      </c>
      <c r="B72" s="325">
        <f t="shared" si="5"/>
        <v>3497.2526923804312</v>
      </c>
      <c r="C72" s="325">
        <f t="shared" si="5"/>
        <v>11520.425647953223</v>
      </c>
      <c r="D72" s="325">
        <f t="shared" si="5"/>
        <v>14413.354917558974</v>
      </c>
      <c r="E72" s="325">
        <f t="shared" si="6"/>
        <v>29431.033257892628</v>
      </c>
    </row>
    <row r="73" spans="1:6" ht="17.25" thickTop="1" thickBot="1">
      <c r="A73" s="324" t="s">
        <v>207</v>
      </c>
      <c r="B73" s="325">
        <f t="shared" si="5"/>
        <v>3497.2526923804312</v>
      </c>
      <c r="C73" s="325">
        <f t="shared" si="5"/>
        <v>11520.425647953223</v>
      </c>
      <c r="D73" s="325">
        <f t="shared" si="5"/>
        <v>14413.354917558974</v>
      </c>
      <c r="E73" s="325">
        <f t="shared" si="6"/>
        <v>29431.033257892628</v>
      </c>
    </row>
    <row r="74" spans="1:6" ht="17.25" thickTop="1" thickBot="1">
      <c r="A74" s="324" t="s">
        <v>208</v>
      </c>
      <c r="B74" s="325">
        <f t="shared" si="5"/>
        <v>3497.2526923804312</v>
      </c>
      <c r="C74" s="325">
        <f t="shared" si="5"/>
        <v>11520.425647953223</v>
      </c>
      <c r="D74" s="325">
        <f t="shared" si="5"/>
        <v>14413.354917558974</v>
      </c>
      <c r="E74" s="325">
        <f t="shared" si="6"/>
        <v>29431.033257892628</v>
      </c>
    </row>
    <row r="75" spans="1:6" ht="17.25" thickTop="1" thickBot="1">
      <c r="A75" s="324" t="s">
        <v>209</v>
      </c>
      <c r="B75" s="325">
        <f>B73</f>
        <v>3497.2526923804312</v>
      </c>
      <c r="C75" s="325">
        <f>C73</f>
        <v>11520.425647953223</v>
      </c>
      <c r="D75" s="325">
        <f>D73</f>
        <v>14413.354917558974</v>
      </c>
      <c r="E75" s="325">
        <f>E73</f>
        <v>29431.033257892628</v>
      </c>
    </row>
    <row r="76" spans="1:6" ht="16.5" thickTop="1">
      <c r="A76" s="287" t="s">
        <v>7</v>
      </c>
      <c r="B76" s="284" t="s">
        <v>7</v>
      </c>
      <c r="C76" s="284" t="s">
        <v>7</v>
      </c>
      <c r="D76" s="284" t="s">
        <v>7</v>
      </c>
      <c r="E76" s="284" t="s">
        <v>7</v>
      </c>
    </row>
    <row r="77" spans="1:6" ht="15.75">
      <c r="A77" s="285" t="s">
        <v>7</v>
      </c>
      <c r="B77" s="286" t="str">
        <f>B76</f>
        <v xml:space="preserve"> </v>
      </c>
      <c r="C77" s="286" t="s">
        <v>7</v>
      </c>
      <c r="D77" s="286" t="s">
        <v>7</v>
      </c>
      <c r="E77" s="286" t="s">
        <v>7</v>
      </c>
    </row>
  </sheetData>
  <sheetProtection password="A5F1" sheet="1" objects="1" scenarios="1"/>
  <mergeCells count="1">
    <mergeCell ref="A1:E1"/>
  </mergeCells>
  <phoneticPr fontId="0" type="noConversion"/>
  <pageMargins left="1.6" right="0.32" top="0.17" bottom="0.46" header="0.18" footer="0.46"/>
  <pageSetup scale="62" orientation="portrait"/>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rgb="FF7030A0"/>
  </sheetPr>
  <dimension ref="A1:J71"/>
  <sheetViews>
    <sheetView tabSelected="1" zoomScale="125" zoomScaleNormal="125" workbookViewId="0">
      <selection activeCell="G29" sqref="G29"/>
    </sheetView>
  </sheetViews>
  <sheetFormatPr defaultColWidth="8.85546875" defaultRowHeight="12.75"/>
  <cols>
    <col min="1" max="1" width="16.7109375" customWidth="1"/>
    <col min="8" max="8" width="9.28515625" bestFit="1" customWidth="1"/>
  </cols>
  <sheetData>
    <row r="1" spans="1:10">
      <c r="A1" s="1610" t="s">
        <v>699</v>
      </c>
      <c r="B1" s="1610"/>
      <c r="C1" s="1610"/>
      <c r="D1" s="1610"/>
      <c r="E1" s="1610"/>
      <c r="F1" s="1610"/>
      <c r="G1" s="1610"/>
      <c r="H1" s="1610"/>
      <c r="I1" s="1610"/>
      <c r="J1" s="342"/>
    </row>
    <row r="2" spans="1:10">
      <c r="A2" s="94" t="s">
        <v>7</v>
      </c>
      <c r="B2" s="94"/>
      <c r="C2" s="94"/>
      <c r="D2" s="94"/>
      <c r="E2" s="94"/>
      <c r="F2" s="94"/>
      <c r="G2" s="94"/>
      <c r="H2" s="94"/>
      <c r="I2" s="94"/>
      <c r="J2" s="117"/>
    </row>
    <row r="3" spans="1:10">
      <c r="A3" s="11" t="s">
        <v>700</v>
      </c>
      <c r="D3" s="335">
        <v>40796</v>
      </c>
      <c r="F3" s="11" t="s">
        <v>701</v>
      </c>
      <c r="G3" s="1611" t="s">
        <v>862</v>
      </c>
      <c r="H3" s="1612"/>
      <c r="I3" s="1612"/>
    </row>
    <row r="4" spans="1:10">
      <c r="A4" s="11"/>
      <c r="D4" s="339"/>
      <c r="F4" s="11"/>
      <c r="G4" s="340"/>
      <c r="H4" s="305"/>
      <c r="I4" s="305"/>
    </row>
    <row r="5" spans="1:10">
      <c r="A5" s="331" t="s">
        <v>720</v>
      </c>
      <c r="B5" s="118"/>
      <c r="C5" s="118"/>
      <c r="D5" s="118"/>
      <c r="E5" s="118"/>
      <c r="F5" s="118"/>
      <c r="G5" s="118"/>
      <c r="H5" s="118"/>
      <c r="I5" s="118"/>
      <c r="J5" s="118"/>
    </row>
    <row r="6" spans="1:10">
      <c r="A6" s="331" t="s">
        <v>726</v>
      </c>
      <c r="B6" s="5"/>
      <c r="C6" s="5"/>
      <c r="D6" s="5"/>
      <c r="E6" s="5"/>
      <c r="F6" s="5"/>
      <c r="G6" s="5"/>
      <c r="H6" s="5"/>
      <c r="I6" s="5"/>
      <c r="J6" s="5"/>
    </row>
    <row r="7" spans="1:10">
      <c r="A7" s="331" t="s">
        <v>722</v>
      </c>
      <c r="B7" s="5"/>
      <c r="C7" s="5"/>
      <c r="D7" s="5"/>
      <c r="E7" s="5"/>
      <c r="F7" s="5"/>
      <c r="G7" s="5"/>
      <c r="H7" s="5"/>
      <c r="I7" s="5"/>
      <c r="J7" s="5"/>
    </row>
    <row r="8" spans="1:10">
      <c r="A8" s="331" t="s">
        <v>721</v>
      </c>
      <c r="B8" s="5"/>
      <c r="C8" s="5"/>
      <c r="D8" s="5"/>
      <c r="E8" s="5"/>
      <c r="F8" s="5"/>
      <c r="G8" s="5"/>
      <c r="H8" s="5"/>
      <c r="I8" s="5"/>
      <c r="J8" s="5"/>
    </row>
    <row r="9" spans="1:10">
      <c r="A9" s="341" t="s">
        <v>719</v>
      </c>
      <c r="B9" s="5"/>
      <c r="C9" s="5"/>
      <c r="D9" s="5"/>
      <c r="E9" s="5"/>
      <c r="F9" s="5"/>
      <c r="G9" s="5"/>
      <c r="H9" s="5"/>
      <c r="I9" s="5"/>
      <c r="J9" s="5"/>
    </row>
    <row r="10" spans="1:10">
      <c r="B10" s="5"/>
      <c r="C10" s="5"/>
      <c r="D10" s="5"/>
      <c r="E10" s="5"/>
      <c r="F10" s="5"/>
      <c r="G10" s="5"/>
      <c r="H10" s="5"/>
      <c r="I10" s="5"/>
      <c r="J10" s="5"/>
    </row>
    <row r="11" spans="1:10">
      <c r="A11" s="4" t="s">
        <v>620</v>
      </c>
    </row>
    <row r="13" spans="1:10">
      <c r="B13" s="11" t="s">
        <v>717</v>
      </c>
    </row>
    <row r="14" spans="1:10">
      <c r="B14" s="11"/>
      <c r="C14" t="s">
        <v>157</v>
      </c>
      <c r="G14" s="766">
        <v>16500</v>
      </c>
      <c r="H14" t="s">
        <v>718</v>
      </c>
    </row>
    <row r="15" spans="1:10">
      <c r="B15" s="11"/>
      <c r="C15" t="s">
        <v>663</v>
      </c>
      <c r="G15" s="766">
        <v>19000</v>
      </c>
      <c r="H15" t="s">
        <v>718</v>
      </c>
    </row>
    <row r="16" spans="1:10">
      <c r="B16" s="11" t="s">
        <v>615</v>
      </c>
    </row>
    <row r="17" spans="1:8">
      <c r="C17" s="11" t="s">
        <v>624</v>
      </c>
      <c r="G17" s="767">
        <v>0.8</v>
      </c>
    </row>
    <row r="18" spans="1:8">
      <c r="C18" s="11" t="s">
        <v>616</v>
      </c>
      <c r="G18" s="182">
        <f>Yields!G16</f>
        <v>15200</v>
      </c>
    </row>
    <row r="19" spans="1:8">
      <c r="C19" s="11" t="s">
        <v>617</v>
      </c>
      <c r="G19" s="182">
        <f>Yields!G17</f>
        <v>30400</v>
      </c>
    </row>
    <row r="20" spans="1:8">
      <c r="C20" s="11" t="s">
        <v>405</v>
      </c>
      <c r="G20" s="182">
        <f>Yields!G18</f>
        <v>2533.3333333333335</v>
      </c>
    </row>
    <row r="21" spans="1:8">
      <c r="B21" s="11" t="s">
        <v>619</v>
      </c>
    </row>
    <row r="22" spans="1:8">
      <c r="C22" s="11" t="s">
        <v>624</v>
      </c>
      <c r="G22" s="314">
        <v>0.2</v>
      </c>
      <c r="H22" s="293"/>
    </row>
    <row r="23" spans="1:8">
      <c r="C23" s="11" t="s">
        <v>616</v>
      </c>
      <c r="G23" s="182">
        <f>Yields!H16</f>
        <v>3800</v>
      </c>
    </row>
    <row r="25" spans="1:8">
      <c r="B25" s="11" t="s">
        <v>387</v>
      </c>
    </row>
    <row r="26" spans="1:8">
      <c r="B26" s="11" t="s">
        <v>615</v>
      </c>
    </row>
    <row r="27" spans="1:8">
      <c r="C27" s="11" t="s">
        <v>618</v>
      </c>
      <c r="G27" s="56">
        <f>Yields!H25</f>
        <v>2.3333333333333335</v>
      </c>
    </row>
    <row r="28" spans="1:8">
      <c r="C28" s="11" t="s">
        <v>354</v>
      </c>
      <c r="G28" s="768">
        <v>14</v>
      </c>
    </row>
    <row r="29" spans="1:8">
      <c r="B29" s="11" t="s">
        <v>619</v>
      </c>
    </row>
    <row r="30" spans="1:8">
      <c r="C30" s="11" t="s">
        <v>618</v>
      </c>
      <c r="G30" s="768">
        <v>0</v>
      </c>
    </row>
    <row r="32" spans="1:8">
      <c r="A32" s="4" t="s">
        <v>623</v>
      </c>
    </row>
    <row r="34" spans="2:8">
      <c r="B34" s="11" t="s">
        <v>622</v>
      </c>
    </row>
    <row r="35" spans="2:8">
      <c r="C35" s="11" t="s">
        <v>707</v>
      </c>
    </row>
    <row r="36" spans="2:8">
      <c r="C36" s="11" t="s">
        <v>708</v>
      </c>
      <c r="G36" s="768">
        <v>14</v>
      </c>
      <c r="H36" t="s">
        <v>705</v>
      </c>
    </row>
    <row r="37" spans="2:8">
      <c r="C37" s="11" t="s">
        <v>709</v>
      </c>
      <c r="G37" s="56">
        <f>Labor!I53</f>
        <v>15.721984615384617</v>
      </c>
      <c r="H37" t="s">
        <v>705</v>
      </c>
    </row>
    <row r="38" spans="2:8">
      <c r="C38" s="11" t="s">
        <v>710</v>
      </c>
    </row>
    <row r="39" spans="2:8">
      <c r="C39" s="11" t="s">
        <v>708</v>
      </c>
      <c r="G39" s="768">
        <v>7.5</v>
      </c>
      <c r="H39" t="s">
        <v>705</v>
      </c>
    </row>
    <row r="40" spans="2:8">
      <c r="C40" s="11" t="s">
        <v>709</v>
      </c>
      <c r="G40" s="56">
        <f>Labor!I107</f>
        <v>8.4749230769230781</v>
      </c>
      <c r="H40" t="s">
        <v>705</v>
      </c>
    </row>
    <row r="41" spans="2:8">
      <c r="B41" s="11" t="s">
        <v>621</v>
      </c>
    </row>
    <row r="42" spans="2:8">
      <c r="C42" s="11" t="s">
        <v>711</v>
      </c>
      <c r="G42" s="768">
        <v>3.5</v>
      </c>
      <c r="H42" t="s">
        <v>706</v>
      </c>
    </row>
    <row r="43" spans="2:8">
      <c r="C43" s="11" t="s">
        <v>712</v>
      </c>
      <c r="G43" s="768">
        <v>0.5</v>
      </c>
      <c r="H43" t="s">
        <v>706</v>
      </c>
    </row>
    <row r="44" spans="2:8">
      <c r="C44" s="11" t="s">
        <v>713</v>
      </c>
      <c r="G44" s="768">
        <v>0.25</v>
      </c>
      <c r="H44" t="s">
        <v>706</v>
      </c>
    </row>
    <row r="45" spans="2:8">
      <c r="C45" s="11" t="s">
        <v>714</v>
      </c>
      <c r="G45" s="768">
        <v>7.5</v>
      </c>
      <c r="H45" t="s">
        <v>705</v>
      </c>
    </row>
    <row r="47" spans="2:8">
      <c r="B47" s="11" t="s">
        <v>262</v>
      </c>
    </row>
    <row r="48" spans="2:8">
      <c r="C48" s="11" t="s">
        <v>716</v>
      </c>
      <c r="G48" s="769">
        <v>0.115</v>
      </c>
      <c r="H48" t="s">
        <v>715</v>
      </c>
    </row>
    <row r="49" spans="1:8">
      <c r="C49" s="11" t="s">
        <v>406</v>
      </c>
      <c r="G49" s="769">
        <v>1.75</v>
      </c>
      <c r="H49" t="s">
        <v>715</v>
      </c>
    </row>
    <row r="50" spans="1:8">
      <c r="C50" s="11"/>
      <c r="G50" s="337"/>
    </row>
    <row r="51" spans="1:8">
      <c r="C51" s="11"/>
      <c r="G51" s="337"/>
    </row>
    <row r="52" spans="1:8">
      <c r="C52" s="310" t="s">
        <v>329</v>
      </c>
      <c r="D52" s="310"/>
      <c r="E52" s="338"/>
      <c r="G52" s="770">
        <v>7.0000000000000007E-2</v>
      </c>
    </row>
    <row r="53" spans="1:8">
      <c r="C53" s="310" t="s">
        <v>330</v>
      </c>
      <c r="D53" s="338"/>
      <c r="E53" s="338"/>
      <c r="G53" s="770">
        <v>8.0000000000000002E-3</v>
      </c>
    </row>
    <row r="54" spans="1:8">
      <c r="C54" s="310" t="s">
        <v>331</v>
      </c>
      <c r="D54" s="310"/>
      <c r="E54" s="310"/>
      <c r="G54" s="770">
        <v>8.0000000000000002E-3</v>
      </c>
    </row>
    <row r="55" spans="1:8">
      <c r="C55" s="310"/>
      <c r="D55" s="310"/>
      <c r="E55" s="310"/>
      <c r="G55" s="770"/>
    </row>
    <row r="56" spans="1:8">
      <c r="B56" t="s">
        <v>856</v>
      </c>
      <c r="C56" s="310"/>
      <c r="D56" s="310"/>
      <c r="E56" s="310"/>
      <c r="G56" s="771"/>
    </row>
    <row r="57" spans="1:8">
      <c r="C57" s="310" t="s">
        <v>777</v>
      </c>
      <c r="D57" s="310"/>
      <c r="E57" s="310"/>
      <c r="G57" s="771"/>
    </row>
    <row r="58" spans="1:8">
      <c r="C58" s="310" t="s">
        <v>783</v>
      </c>
      <c r="D58" s="310"/>
      <c r="E58" s="310"/>
      <c r="G58" s="771"/>
    </row>
    <row r="59" spans="1:8">
      <c r="C59" s="310" t="s">
        <v>789</v>
      </c>
      <c r="D59" s="310"/>
      <c r="E59" s="310"/>
      <c r="G59" s="771"/>
    </row>
    <row r="60" spans="1:8">
      <c r="C60" s="310" t="s">
        <v>794</v>
      </c>
      <c r="D60" s="310"/>
      <c r="E60" s="310"/>
      <c r="G60" s="771">
        <v>1</v>
      </c>
    </row>
    <row r="61" spans="1:8">
      <c r="C61" s="310"/>
      <c r="D61" s="310"/>
      <c r="E61" s="310"/>
      <c r="G61" s="343"/>
    </row>
    <row r="62" spans="1:8">
      <c r="C62" s="310"/>
      <c r="D62" s="310"/>
      <c r="E62" s="310"/>
      <c r="G62" s="343"/>
    </row>
    <row r="63" spans="1:8">
      <c r="A63" s="4" t="s">
        <v>723</v>
      </c>
      <c r="C63" s="310"/>
      <c r="D63" s="310"/>
      <c r="E63" s="310"/>
      <c r="G63" s="343"/>
    </row>
    <row r="64" spans="1:8" ht="13.5" customHeight="1"/>
    <row r="65" spans="1:9" ht="77.25" thickBot="1">
      <c r="A65" s="344" t="s">
        <v>727</v>
      </c>
      <c r="B65" s="344" t="s">
        <v>636</v>
      </c>
      <c r="C65" s="344" t="s">
        <v>637</v>
      </c>
      <c r="D65" s="344" t="s">
        <v>638</v>
      </c>
      <c r="E65" s="345" t="s">
        <v>724</v>
      </c>
      <c r="F65" s="345" t="s">
        <v>639</v>
      </c>
      <c r="G65" s="345" t="s">
        <v>640</v>
      </c>
      <c r="H65" s="345" t="s">
        <v>641</v>
      </c>
      <c r="I65" s="345" t="s">
        <v>642</v>
      </c>
    </row>
    <row r="66" spans="1:9" ht="13.5" customHeight="1" thickTop="1">
      <c r="A66" s="346" t="s">
        <v>332</v>
      </c>
      <c r="B66" s="772">
        <v>3.95</v>
      </c>
      <c r="C66" s="774">
        <v>1.5</v>
      </c>
      <c r="D66" s="776">
        <v>0.02</v>
      </c>
      <c r="E66" s="347"/>
      <c r="F66" s="347"/>
      <c r="G66" s="348">
        <f>B66*C66</f>
        <v>5.9250000000000007</v>
      </c>
      <c r="H66" s="349">
        <f t="shared" ref="H66:H71" si="0">G66*D66</f>
        <v>0.11850000000000002</v>
      </c>
      <c r="I66" s="349">
        <f t="shared" ref="I66:I71" si="1">G66+H66</f>
        <v>6.0435000000000008</v>
      </c>
    </row>
    <row r="67" spans="1:9" ht="13.5" customHeight="1">
      <c r="A67" s="350" t="s">
        <v>333</v>
      </c>
      <c r="B67" s="351">
        <f>HOAssumptions!B66</f>
        <v>3.95</v>
      </c>
      <c r="C67" s="775">
        <v>2.5</v>
      </c>
      <c r="D67" s="777">
        <v>0.02</v>
      </c>
      <c r="E67" s="352"/>
      <c r="F67" s="352"/>
      <c r="G67" s="353">
        <f>B67*C67</f>
        <v>9.875</v>
      </c>
      <c r="H67" s="354">
        <f t="shared" si="0"/>
        <v>0.19750000000000001</v>
      </c>
      <c r="I67" s="354">
        <f t="shared" si="1"/>
        <v>10.0725</v>
      </c>
    </row>
    <row r="68" spans="1:9" ht="13.5" customHeight="1">
      <c r="A68" s="350" t="s">
        <v>334</v>
      </c>
      <c r="B68" s="351">
        <f>HOAssumptions!B70</f>
        <v>3.35</v>
      </c>
      <c r="C68" s="775">
        <v>0.375</v>
      </c>
      <c r="D68" s="777">
        <v>0.02</v>
      </c>
      <c r="E68" s="355"/>
      <c r="F68" s="355"/>
      <c r="G68" s="353">
        <f>B68*C68</f>
        <v>1.2562500000000001</v>
      </c>
      <c r="H68" s="354">
        <f t="shared" si="0"/>
        <v>2.5125000000000001E-2</v>
      </c>
      <c r="I68" s="354">
        <f t="shared" si="1"/>
        <v>1.2813750000000002</v>
      </c>
    </row>
    <row r="69" spans="1:9" ht="27" customHeight="1">
      <c r="A69" s="356" t="s">
        <v>703</v>
      </c>
      <c r="B69" s="351">
        <f>HOAssumptions!B70</f>
        <v>3.35</v>
      </c>
      <c r="C69" s="775">
        <v>2</v>
      </c>
      <c r="D69" s="777">
        <v>0.02</v>
      </c>
      <c r="E69" s="357"/>
      <c r="F69" s="357"/>
      <c r="G69" s="353">
        <f>B69*C69</f>
        <v>6.7</v>
      </c>
      <c r="H69" s="354">
        <f t="shared" si="0"/>
        <v>0.13400000000000001</v>
      </c>
      <c r="I69" s="354">
        <f t="shared" si="1"/>
        <v>6.8340000000000005</v>
      </c>
    </row>
    <row r="70" spans="1:9" ht="13.5" customHeight="1">
      <c r="A70" s="356" t="s">
        <v>704</v>
      </c>
      <c r="B70" s="773">
        <v>3.35</v>
      </c>
      <c r="C70" s="358"/>
      <c r="D70" s="777">
        <v>0.02</v>
      </c>
      <c r="E70" s="778">
        <v>15</v>
      </c>
      <c r="F70" s="778">
        <v>50</v>
      </c>
      <c r="G70" s="353">
        <f>(B70*F70)/E70</f>
        <v>11.166666666666666</v>
      </c>
      <c r="H70" s="354">
        <f t="shared" si="0"/>
        <v>0.22333333333333333</v>
      </c>
      <c r="I70" s="354">
        <f t="shared" si="1"/>
        <v>11.389999999999999</v>
      </c>
    </row>
    <row r="71" spans="1:9" ht="27" customHeight="1">
      <c r="A71" s="356" t="s">
        <v>725</v>
      </c>
      <c r="B71" s="359">
        <f>HOAssumptions!B70</f>
        <v>3.35</v>
      </c>
      <c r="C71" s="360"/>
      <c r="D71" s="777">
        <v>0.02</v>
      </c>
      <c r="E71" s="778">
        <v>8</v>
      </c>
      <c r="F71" s="778">
        <v>50</v>
      </c>
      <c r="G71" s="353">
        <f>(B71*F71)/E71</f>
        <v>20.9375</v>
      </c>
      <c r="H71" s="354">
        <f t="shared" si="0"/>
        <v>0.41875000000000001</v>
      </c>
      <c r="I71" s="354">
        <f t="shared" si="1"/>
        <v>21.356249999999999</v>
      </c>
    </row>
  </sheetData>
  <sheetProtection password="A5F1" sheet="1" objects="1" scenarios="1"/>
  <mergeCells count="2">
    <mergeCell ref="A1:I1"/>
    <mergeCell ref="G3:I3"/>
  </mergeCells>
  <pageMargins left="0.64" right="0.41" top="0.75" bottom="0.75" header="0.3" footer="0.3"/>
  <pageSetup orientation="portrait"/>
</worksheet>
</file>

<file path=xl/worksheets/sheet20.xml><?xml version="1.0" encoding="utf-8"?>
<worksheet xmlns="http://schemas.openxmlformats.org/spreadsheetml/2006/main" xmlns:r="http://schemas.openxmlformats.org/officeDocument/2006/relationships">
  <sheetPr codeName="Sheet8" enableFormatConditionsCalculation="0">
    <tabColor theme="3" tint="0.39997558519241921"/>
  </sheetPr>
  <dimension ref="A1:R98"/>
  <sheetViews>
    <sheetView zoomScaleNormal="100" workbookViewId="0">
      <selection activeCell="G57" sqref="G57"/>
    </sheetView>
  </sheetViews>
  <sheetFormatPr defaultColWidth="8.85546875" defaultRowHeight="12.75"/>
  <cols>
    <col min="1" max="1" width="8.85546875" style="764"/>
    <col min="2" max="3" width="10.7109375" style="764" customWidth="1"/>
    <col min="4" max="4" width="11.140625" style="764" customWidth="1"/>
    <col min="5" max="5" width="11.140625" style="764" bestFit="1" customWidth="1"/>
    <col min="6" max="6" width="11.140625" style="764" customWidth="1"/>
    <col min="7" max="7" width="13" style="764" customWidth="1"/>
    <col min="8" max="8" width="10.7109375" style="764" customWidth="1"/>
    <col min="9" max="9" width="1.7109375" style="764" customWidth="1"/>
    <col min="10" max="10" width="9.28515625" style="764" bestFit="1" customWidth="1"/>
    <col min="11" max="12" width="10.7109375" style="764" customWidth="1"/>
    <col min="13" max="13" width="11.7109375" style="764" customWidth="1"/>
    <col min="14" max="14" width="12" style="764" customWidth="1"/>
    <col min="15" max="15" width="10.7109375" style="764" bestFit="1" customWidth="1"/>
    <col min="16" max="17" width="10.7109375" style="764" customWidth="1"/>
    <col min="18" max="16384" width="8.85546875" style="764"/>
  </cols>
  <sheetData>
    <row r="1" spans="1:16">
      <c r="A1" s="4" t="s">
        <v>362</v>
      </c>
      <c r="C1" s="4" t="s">
        <v>363</v>
      </c>
    </row>
    <row r="2" spans="1:16">
      <c r="A2" s="4"/>
      <c r="D2" s="4"/>
    </row>
    <row r="3" spans="1:16">
      <c r="A3" s="4" t="s">
        <v>361</v>
      </c>
    </row>
    <row r="4" spans="1:16" ht="13.5" thickBot="1">
      <c r="B4" s="4" t="s">
        <v>308</v>
      </c>
      <c r="C4" s="4"/>
      <c r="E4" s="62">
        <f>Yields!G5</f>
        <v>0.8</v>
      </c>
    </row>
    <row r="5" spans="1:16" ht="39.75" thickTop="1" thickBot="1">
      <c r="B5" s="4" t="s">
        <v>364</v>
      </c>
      <c r="C5" s="4"/>
      <c r="E5" s="62">
        <f>1-E4</f>
        <v>0.19999999999999996</v>
      </c>
      <c r="K5" s="100" t="s">
        <v>397</v>
      </c>
      <c r="L5" s="1672" t="s">
        <v>415</v>
      </c>
      <c r="M5" s="1673"/>
      <c r="N5" s="1673"/>
      <c r="O5" s="1673"/>
      <c r="P5" s="1674"/>
    </row>
    <row r="6" spans="1:16" ht="14.25" thickTop="1" thickBot="1">
      <c r="B6" s="4" t="s">
        <v>590</v>
      </c>
      <c r="C6" s="4" t="s">
        <v>589</v>
      </c>
      <c r="D6" s="4"/>
      <c r="E6" s="277">
        <f>Yields!F16</f>
        <v>19000</v>
      </c>
      <c r="K6" s="102" t="s">
        <v>7</v>
      </c>
      <c r="L6" s="1523">
        <f>A43*0.1666667</f>
        <v>1621.3336575999999</v>
      </c>
      <c r="M6" s="1523">
        <f>A44*0.16666667</f>
        <v>2026.6667071999998</v>
      </c>
      <c r="N6" s="1524">
        <f>A45*0.1666667</f>
        <v>2533.3338400000002</v>
      </c>
      <c r="O6" s="1523">
        <f>A46*0.1666667</f>
        <v>3040.0006079999998</v>
      </c>
      <c r="P6" s="1525">
        <f>A47*0.1666667</f>
        <v>3648.0007295999999</v>
      </c>
    </row>
    <row r="7" spans="1:16" ht="13.5" thickTop="1">
      <c r="B7" s="4" t="s">
        <v>592</v>
      </c>
      <c r="C7" s="4" t="s">
        <v>589</v>
      </c>
      <c r="D7" s="4"/>
      <c r="E7" s="277">
        <f>Yields!G16</f>
        <v>15200</v>
      </c>
      <c r="K7" s="1526">
        <f>G38</f>
        <v>8.9600000000000009</v>
      </c>
      <c r="L7" s="1527">
        <f>H43</f>
        <v>-8173.3118857326281</v>
      </c>
      <c r="M7" s="1527">
        <f>H44</f>
        <v>-7532.881542692623</v>
      </c>
      <c r="N7" s="1528">
        <f>H45</f>
        <v>-6732.3436138926227</v>
      </c>
      <c r="O7" s="1529">
        <f>H46</f>
        <v>-5931.8056850926223</v>
      </c>
      <c r="P7" s="1527">
        <f>H47</f>
        <v>-4971.1601705326248</v>
      </c>
    </row>
    <row r="8" spans="1:16">
      <c r="B8" s="4"/>
      <c r="C8" s="4" t="s">
        <v>625</v>
      </c>
      <c r="D8" s="4"/>
      <c r="E8" s="277">
        <f>Yields!G17</f>
        <v>30400</v>
      </c>
      <c r="K8" s="1526">
        <f>G51</f>
        <v>11.2</v>
      </c>
      <c r="L8" s="1529">
        <f>H56</f>
        <v>-4541.517955492629</v>
      </c>
      <c r="M8" s="1529">
        <f>H57</f>
        <v>-2993.1391298926246</v>
      </c>
      <c r="N8" s="1528">
        <f>H58</f>
        <v>-1057.6655978926246</v>
      </c>
      <c r="O8" s="1529">
        <f>H59</f>
        <v>877.80793410737533</v>
      </c>
      <c r="P8" s="1527">
        <f>H60</f>
        <v>3200.3761725073709</v>
      </c>
    </row>
    <row r="9" spans="1:16">
      <c r="C9" s="4" t="s">
        <v>591</v>
      </c>
      <c r="E9" s="277">
        <f>Yields!G18</f>
        <v>2533.3333333333335</v>
      </c>
      <c r="K9" s="1530">
        <f>G64</f>
        <v>14</v>
      </c>
      <c r="L9" s="1531">
        <f>H69</f>
        <v>-1.7755426926269138</v>
      </c>
      <c r="M9" s="1528">
        <f>H70</f>
        <v>2681.538886107377</v>
      </c>
      <c r="N9" s="1528">
        <f>H71</f>
        <v>6035.6819221073747</v>
      </c>
      <c r="O9" s="1528">
        <f>H72</f>
        <v>9389.824958107376</v>
      </c>
      <c r="P9" s="1531">
        <f>H73</f>
        <v>13414.796601307375</v>
      </c>
    </row>
    <row r="10" spans="1:16">
      <c r="A10" s="4"/>
      <c r="K10" s="1526">
        <f>G78</f>
        <v>16.8</v>
      </c>
      <c r="L10" s="1527">
        <f>H83</f>
        <v>4537.9668701073751</v>
      </c>
      <c r="M10" s="1529">
        <f>H84</f>
        <v>8356.2169021073787</v>
      </c>
      <c r="N10" s="1528">
        <f>H85</f>
        <v>13129.029442107378</v>
      </c>
      <c r="O10" s="1529">
        <f>H86</f>
        <v>17901.841982107377</v>
      </c>
      <c r="P10" s="1527">
        <f>H87</f>
        <v>23629.217030107378</v>
      </c>
    </row>
    <row r="11" spans="1:16" ht="12.75" customHeight="1" thickBot="1">
      <c r="A11" s="4"/>
      <c r="B11" s="4" t="s">
        <v>419</v>
      </c>
      <c r="D11" s="4"/>
      <c r="E11" s="62">
        <v>0.2</v>
      </c>
      <c r="K11" s="1532">
        <f>G89</f>
        <v>20.160000000000004</v>
      </c>
      <c r="L11" s="1533">
        <f>H94</f>
        <v>9985.6577654673783</v>
      </c>
      <c r="M11" s="1533">
        <f>H95</f>
        <v>15165.830521307384</v>
      </c>
      <c r="N11" s="1534">
        <f>H96</f>
        <v>21641.046466107386</v>
      </c>
      <c r="O11" s="1535">
        <f>H97</f>
        <v>28116.262410907388</v>
      </c>
      <c r="P11" s="1533">
        <f>H98</f>
        <v>35886.521544667383</v>
      </c>
    </row>
    <row r="12" spans="1:16" ht="13.5" thickTop="1">
      <c r="K12" s="1536">
        <f>E4</f>
        <v>0.8</v>
      </c>
      <c r="L12" s="764" t="s">
        <v>308</v>
      </c>
      <c r="M12" s="1536">
        <f>E5</f>
        <v>0.19999999999999996</v>
      </c>
      <c r="N12" s="764" t="s">
        <v>336</v>
      </c>
    </row>
    <row r="13" spans="1:16">
      <c r="A13" s="4"/>
      <c r="D13" s="4"/>
    </row>
    <row r="14" spans="1:16">
      <c r="A14" s="4"/>
      <c r="B14" s="105" t="s">
        <v>147</v>
      </c>
      <c r="C14" s="106" t="s">
        <v>411</v>
      </c>
      <c r="D14" s="107" t="s">
        <v>147</v>
      </c>
    </row>
    <row r="15" spans="1:16" ht="13.5" thickBot="1">
      <c r="A15" s="4"/>
      <c r="B15" s="108" t="s">
        <v>410</v>
      </c>
      <c r="C15" s="109" t="s">
        <v>410</v>
      </c>
      <c r="D15" s="110" t="s">
        <v>405</v>
      </c>
    </row>
    <row r="16" spans="1:16" ht="39.75" thickTop="1" thickBot="1">
      <c r="B16" s="1537" t="s">
        <v>353</v>
      </c>
      <c r="C16" s="1538" t="s">
        <v>353</v>
      </c>
      <c r="D16" s="1539" t="s">
        <v>412</v>
      </c>
      <c r="K16" s="100" t="s">
        <v>281</v>
      </c>
      <c r="L16" s="1678" t="s">
        <v>399</v>
      </c>
      <c r="M16" s="1679"/>
      <c r="N16" s="1679"/>
      <c r="O16" s="1679"/>
      <c r="P16" s="1680"/>
    </row>
    <row r="17" spans="1:18" ht="39.75" customHeight="1" thickTop="1" thickBot="1">
      <c r="B17" s="1540">
        <f>B18-(B18*E11)</f>
        <v>12160</v>
      </c>
      <c r="C17" s="1541">
        <f>B17*E4</f>
        <v>9728</v>
      </c>
      <c r="D17" s="1542">
        <f>C17*0.166667</f>
        <v>1621.3365760000002</v>
      </c>
      <c r="K17" s="102" t="s">
        <v>7</v>
      </c>
      <c r="L17" s="1523">
        <f>A43</f>
        <v>9728</v>
      </c>
      <c r="M17" s="1523">
        <f>A44</f>
        <v>12160</v>
      </c>
      <c r="N17" s="1524">
        <f>A45</f>
        <v>15200</v>
      </c>
      <c r="O17" s="1523">
        <f>A46</f>
        <v>18240</v>
      </c>
      <c r="P17" s="1525">
        <f>A47</f>
        <v>21888</v>
      </c>
    </row>
    <row r="18" spans="1:18" ht="13.5" thickTop="1">
      <c r="B18" s="1540">
        <f>B19-(B19*E11)</f>
        <v>15200</v>
      </c>
      <c r="C18" s="1541">
        <f>B18*E4</f>
        <v>12160</v>
      </c>
      <c r="D18" s="1542">
        <f>C18*0.166667</f>
        <v>2026.6707200000001</v>
      </c>
      <c r="K18" s="1543">
        <f>E38</f>
        <v>1.4933333333333334</v>
      </c>
      <c r="L18" s="1527">
        <f>H43</f>
        <v>-8173.3118857326281</v>
      </c>
      <c r="M18" s="1527">
        <f>H44</f>
        <v>-7532.881542692623</v>
      </c>
      <c r="N18" s="1528">
        <f>H45</f>
        <v>-6732.3436138926227</v>
      </c>
      <c r="O18" s="1529">
        <f>H46</f>
        <v>-5931.8056850926223</v>
      </c>
      <c r="P18" s="1527">
        <f>H47</f>
        <v>-4971.1601705326248</v>
      </c>
    </row>
    <row r="19" spans="1:18">
      <c r="A19" s="764" t="s">
        <v>413</v>
      </c>
      <c r="B19" s="1544">
        <f>E6</f>
        <v>19000</v>
      </c>
      <c r="C19" s="1545">
        <f>B19*E4</f>
        <v>15200</v>
      </c>
      <c r="D19" s="1546">
        <f>C19*0.166667</f>
        <v>2533.3384000000001</v>
      </c>
      <c r="K19" s="1543">
        <f>E51</f>
        <v>1.8666666666666667</v>
      </c>
      <c r="L19" s="1529">
        <f>H56</f>
        <v>-4541.517955492629</v>
      </c>
      <c r="M19" s="1529">
        <f>H57</f>
        <v>-2993.1391298926246</v>
      </c>
      <c r="N19" s="1528">
        <f>H58</f>
        <v>-1057.6655978926246</v>
      </c>
      <c r="O19" s="1529">
        <f>H59</f>
        <v>877.80793410737533</v>
      </c>
      <c r="P19" s="1527">
        <f>H60</f>
        <v>3200.3761725073709</v>
      </c>
    </row>
    <row r="20" spans="1:18">
      <c r="B20" s="1540">
        <f>B19+(B19*E11)</f>
        <v>22800</v>
      </c>
      <c r="C20" s="1541">
        <f>B20*E4</f>
        <v>18240</v>
      </c>
      <c r="D20" s="1542">
        <f>C20*0.166667</f>
        <v>3040.0060800000001</v>
      </c>
      <c r="K20" s="1547">
        <f>E64</f>
        <v>2.3333333333333335</v>
      </c>
      <c r="L20" s="1531">
        <f>H69</f>
        <v>-1.7755426926269138</v>
      </c>
      <c r="M20" s="1528">
        <f>H70</f>
        <v>2681.538886107377</v>
      </c>
      <c r="N20" s="1528">
        <f>H71</f>
        <v>6035.6819221073747</v>
      </c>
      <c r="O20" s="1528">
        <f>H72</f>
        <v>9389.824958107376</v>
      </c>
      <c r="P20" s="1531">
        <f>H73</f>
        <v>13414.796601307375</v>
      </c>
    </row>
    <row r="21" spans="1:18">
      <c r="B21" s="1548">
        <f>B20+(B20*E11)</f>
        <v>27360</v>
      </c>
      <c r="C21" s="1549">
        <f>B21*E4</f>
        <v>21888</v>
      </c>
      <c r="D21" s="1550">
        <f>C21*0.166667</f>
        <v>3648.0072960000002</v>
      </c>
      <c r="K21" s="1543">
        <f>E78</f>
        <v>2.8000000000000003</v>
      </c>
      <c r="L21" s="1527">
        <f>H83</f>
        <v>4537.9668701073751</v>
      </c>
      <c r="M21" s="1529">
        <f>H84</f>
        <v>8356.2169021073787</v>
      </c>
      <c r="N21" s="1528">
        <f>H85</f>
        <v>13129.029442107378</v>
      </c>
      <c r="O21" s="1529">
        <f>H86</f>
        <v>17901.841982107377</v>
      </c>
      <c r="P21" s="1527">
        <f>H87</f>
        <v>23629.217030107378</v>
      </c>
    </row>
    <row r="22" spans="1:18" ht="13.5" thickBot="1">
      <c r="B22" s="4"/>
      <c r="C22" s="4"/>
      <c r="E22" s="62"/>
      <c r="K22" s="1551">
        <f>E89</f>
        <v>3.3600000000000003</v>
      </c>
      <c r="L22" s="1533">
        <f>H94</f>
        <v>9985.6577654673783</v>
      </c>
      <c r="M22" s="1533">
        <f>H95</f>
        <v>15165.830521307384</v>
      </c>
      <c r="N22" s="1534">
        <f>H96</f>
        <v>21641.046466107386</v>
      </c>
      <c r="O22" s="1535">
        <f>H97</f>
        <v>28116.262410907388</v>
      </c>
      <c r="P22" s="1533">
        <f>H98</f>
        <v>35886.521544667383</v>
      </c>
    </row>
    <row r="23" spans="1:18" ht="13.5" thickTop="1">
      <c r="A23" s="4" t="s">
        <v>280</v>
      </c>
      <c r="D23" s="4" t="s">
        <v>306</v>
      </c>
      <c r="F23" s="4" t="s">
        <v>354</v>
      </c>
      <c r="G23" s="4"/>
      <c r="H23" s="93">
        <f>Yields!H23</f>
        <v>14</v>
      </c>
      <c r="K23" s="1536">
        <f>E4</f>
        <v>0.8</v>
      </c>
      <c r="L23" s="764" t="s">
        <v>308</v>
      </c>
      <c r="M23" s="1536">
        <f>E5</f>
        <v>0.19999999999999996</v>
      </c>
      <c r="N23" s="764" t="s">
        <v>336</v>
      </c>
    </row>
    <row r="24" spans="1:18">
      <c r="F24" s="4" t="s">
        <v>596</v>
      </c>
      <c r="G24" s="61"/>
      <c r="H24" s="278">
        <f>Yields!H24</f>
        <v>1.1666666666666667</v>
      </c>
    </row>
    <row r="25" spans="1:18">
      <c r="B25" s="4"/>
      <c r="C25" s="4"/>
      <c r="F25" s="4" t="s">
        <v>355</v>
      </c>
      <c r="G25" s="61"/>
      <c r="H25" s="278">
        <f>Yields!H25</f>
        <v>2.3333333333333335</v>
      </c>
      <c r="J25" s="4" t="s">
        <v>597</v>
      </c>
    </row>
    <row r="26" spans="1:18" ht="13.5" thickBot="1">
      <c r="D26" s="4" t="s">
        <v>307</v>
      </c>
      <c r="H26" s="93">
        <f>Yields!H26</f>
        <v>0</v>
      </c>
    </row>
    <row r="27" spans="1:18" ht="26.25" thickTop="1">
      <c r="B27" s="4"/>
      <c r="C27" s="4"/>
      <c r="D27" s="4" t="s">
        <v>370</v>
      </c>
      <c r="H27" s="62">
        <v>0.2</v>
      </c>
      <c r="J27" s="98" t="s">
        <v>398</v>
      </c>
      <c r="K27" s="67" t="s">
        <v>306</v>
      </c>
      <c r="L27" s="67" t="s">
        <v>377</v>
      </c>
      <c r="M27" s="1675" t="s">
        <v>149</v>
      </c>
      <c r="N27" s="1676"/>
      <c r="O27" s="1677"/>
      <c r="P27" s="21" t="s">
        <v>150</v>
      </c>
      <c r="Q27" s="22" t="s">
        <v>282</v>
      </c>
      <c r="R27" s="95" t="s">
        <v>279</v>
      </c>
    </row>
    <row r="28" spans="1:18" ht="39" customHeight="1" thickBot="1">
      <c r="A28" s="764" t="s">
        <v>369</v>
      </c>
      <c r="B28" s="764" t="s">
        <v>369</v>
      </c>
      <c r="C28" s="764" t="s">
        <v>375</v>
      </c>
      <c r="D28" s="764" t="s">
        <v>365</v>
      </c>
      <c r="E28" s="764" t="s">
        <v>366</v>
      </c>
      <c r="F28" s="764" t="s">
        <v>367</v>
      </c>
      <c r="G28" s="764" t="s">
        <v>368</v>
      </c>
      <c r="H28" s="764" t="s">
        <v>367</v>
      </c>
      <c r="I28" s="88"/>
      <c r="J28" s="99"/>
      <c r="K28" s="78"/>
      <c r="L28" s="78"/>
      <c r="M28" s="27" t="s">
        <v>244</v>
      </c>
      <c r="N28" s="28" t="s">
        <v>145</v>
      </c>
      <c r="O28" s="29" t="s">
        <v>146</v>
      </c>
      <c r="P28" s="30"/>
      <c r="Q28" s="31"/>
      <c r="R28" s="97"/>
    </row>
    <row r="29" spans="1:18">
      <c r="I29" s="88"/>
      <c r="J29" s="1552">
        <f>D17</f>
        <v>1621.3365760000002</v>
      </c>
      <c r="K29" s="1522">
        <f>G38</f>
        <v>8.9600000000000009</v>
      </c>
      <c r="L29" s="1509">
        <f>H26</f>
        <v>0</v>
      </c>
      <c r="M29" s="1553">
        <f>C34</f>
        <v>3497.2526923804312</v>
      </c>
      <c r="N29" s="1553">
        <f>D34+(J29*Materials!D90)+((J29*12)*Materials!D88)+Year3!N14</f>
        <v>8665.8757974998916</v>
      </c>
      <c r="O29" s="1553">
        <f>E34+(J29*Materials!D94)+(J29*Materials!D96)+(J29*Materials!D97)</f>
        <v>10537.368698892307</v>
      </c>
      <c r="P29" s="1553">
        <f>SUM(M29:O29)</f>
        <v>22700.497188772628</v>
      </c>
      <c r="Q29" s="1554">
        <f>($J29*K29)+((B17*E5)*H26)</f>
        <v>14527.175720960002</v>
      </c>
      <c r="R29" s="1555">
        <f>Q29-P29</f>
        <v>-8173.321467812626</v>
      </c>
    </row>
    <row r="30" spans="1:18">
      <c r="I30" s="1556"/>
      <c r="J30" s="1552">
        <f>D18</f>
        <v>2026.6707200000001</v>
      </c>
      <c r="K30" s="1522">
        <f>G51</f>
        <v>11.2</v>
      </c>
      <c r="L30" s="1509">
        <f>H26</f>
        <v>0</v>
      </c>
      <c r="M30" s="1553">
        <f>C34</f>
        <v>3497.2526923804312</v>
      </c>
      <c r="N30" s="1553">
        <f>D34+(J30*Materials!D90)+((J30*12)*Materials!D88)+Year3!N14</f>
        <v>9934.571668219889</v>
      </c>
      <c r="O30" s="1553">
        <f>E34+(J30*Materials!D94)+(J30*Materials!D96)+(J30*Materials!D97)</f>
        <v>12260.038810892303</v>
      </c>
      <c r="P30" s="1553">
        <f>SUM(M30:O30)</f>
        <v>25691.863171492623</v>
      </c>
      <c r="Q30" s="1554">
        <f>($J30*K30)+((B18*E5)*H26)</f>
        <v>22698.712063999999</v>
      </c>
      <c r="R30" s="1557">
        <f>Q30-P30</f>
        <v>-2993.1511074926239</v>
      </c>
    </row>
    <row r="31" spans="1:18">
      <c r="C31" s="4" t="s">
        <v>376</v>
      </c>
      <c r="I31" s="1556"/>
      <c r="J31" s="1558">
        <f>D19</f>
        <v>2533.3384000000001</v>
      </c>
      <c r="K31" s="1559">
        <f>G64</f>
        <v>14</v>
      </c>
      <c r="L31" s="1560">
        <f>H26</f>
        <v>0</v>
      </c>
      <c r="M31" s="1561">
        <f>C34</f>
        <v>3497.2526923804312</v>
      </c>
      <c r="N31" s="1561">
        <f>D34+(J31*Materials!D90)+((J31*12)*Materials!D88)+Year3!N14</f>
        <v>11520.441506619889</v>
      </c>
      <c r="O31" s="1561">
        <f>E34+(J31*Materials!D94)+(J31*Materials!D96)+(J31*Materials!D97)</f>
        <v>14413.376450892305</v>
      </c>
      <c r="P31" s="1561">
        <f>SUM(M31:O31)</f>
        <v>29431.070649892623</v>
      </c>
      <c r="Q31" s="1562">
        <f>($J31*K31)+((B19*E5)*H26)</f>
        <v>35466.7376</v>
      </c>
      <c r="R31" s="1563">
        <f>Q31-P31</f>
        <v>6035.6669501073775</v>
      </c>
    </row>
    <row r="32" spans="1:18">
      <c r="C32" s="94" t="s">
        <v>244</v>
      </c>
      <c r="D32" s="4" t="s">
        <v>145</v>
      </c>
      <c r="E32" s="94" t="s">
        <v>146</v>
      </c>
      <c r="I32" s="1556"/>
      <c r="J32" s="1552">
        <f>D20</f>
        <v>3040.0060800000001</v>
      </c>
      <c r="K32" s="1522">
        <f>G78</f>
        <v>16.8</v>
      </c>
      <c r="L32" s="1509">
        <f>H26</f>
        <v>0</v>
      </c>
      <c r="M32" s="1553">
        <f>C34</f>
        <v>3497.2526923804312</v>
      </c>
      <c r="N32" s="1553">
        <f>D34+(J32*Materials!D90)+((J32*12)*Materials!D88)+Year3!N14</f>
        <v>13106.311345019891</v>
      </c>
      <c r="O32" s="1553">
        <f>E34+(J32*Materials!D94)+(J32*Materials!D96)+(J32*Materials!D97)</f>
        <v>16566.714090892307</v>
      </c>
      <c r="P32" s="1553">
        <f>SUM(M32:O32)</f>
        <v>33170.27812829263</v>
      </c>
      <c r="Q32" s="1554">
        <f>($J32*K32)+((B20*E5)*H26)</f>
        <v>51072.102144000004</v>
      </c>
      <c r="R32" s="1557">
        <f>Q32-P32</f>
        <v>17901.824015707374</v>
      </c>
    </row>
    <row r="33" spans="1:18" ht="13.5" thickBot="1">
      <c r="I33" s="1556"/>
      <c r="J33" s="1564">
        <f>D21</f>
        <v>3648.0072960000002</v>
      </c>
      <c r="K33" s="1565">
        <f>G89</f>
        <v>20.160000000000004</v>
      </c>
      <c r="L33" s="1566">
        <f>H26</f>
        <v>0</v>
      </c>
      <c r="M33" s="1567">
        <f>C34</f>
        <v>3497.2526923804312</v>
      </c>
      <c r="N33" s="1567">
        <f>D34+(J33*Materials!D90)+((J33*12)*Materials!D88)+Year3!N14</f>
        <v>15009.355151099891</v>
      </c>
      <c r="O33" s="1567">
        <f>E34+(J33*Materials!D94)+(J33*Materials!D96)+(J33*Materials!D97)</f>
        <v>19150.719258892306</v>
      </c>
      <c r="P33" s="101">
        <f>SUM(M33:O33)</f>
        <v>37657.327102372627</v>
      </c>
      <c r="Q33" s="1568">
        <f>($J33*K33)+((B21*E5)*H26)</f>
        <v>73543.827087360012</v>
      </c>
      <c r="R33" s="1569">
        <f>Q33-P33</f>
        <v>35886.499984987386</v>
      </c>
    </row>
    <row r="34" spans="1:18">
      <c r="C34" s="93">
        <f>Year3!J169</f>
        <v>3497.2526923804312</v>
      </c>
      <c r="D34" s="93">
        <f>Year3!N175</f>
        <v>3253.5923146198893</v>
      </c>
      <c r="E34" s="93">
        <f>Year3!Q175</f>
        <v>3646.6882508923045</v>
      </c>
      <c r="I34" s="1556"/>
      <c r="J34" s="1536">
        <f>E4</f>
        <v>0.8</v>
      </c>
      <c r="K34" s="764" t="s">
        <v>308</v>
      </c>
      <c r="L34" s="1536">
        <f>E5</f>
        <v>0.19999999999999996</v>
      </c>
      <c r="M34" s="764" t="s">
        <v>336</v>
      </c>
      <c r="N34" s="1570"/>
      <c r="O34" s="1570"/>
      <c r="P34" s="77"/>
      <c r="Q34" s="1570"/>
      <c r="R34" s="1556"/>
    </row>
    <row r="38" spans="1:18">
      <c r="A38" s="4" t="s">
        <v>280</v>
      </c>
      <c r="B38" s="4"/>
      <c r="C38" s="4" t="s">
        <v>304</v>
      </c>
      <c r="E38" s="89">
        <f>E51-(E51*H27)</f>
        <v>1.4933333333333334</v>
      </c>
      <c r="F38" s="94" t="s">
        <v>371</v>
      </c>
      <c r="G38" s="93">
        <f>E38*6</f>
        <v>8.9600000000000009</v>
      </c>
      <c r="H38" s="94" t="s">
        <v>372</v>
      </c>
      <c r="I38" s="787"/>
      <c r="J38" s="4" t="s">
        <v>597</v>
      </c>
    </row>
    <row r="39" spans="1:18" ht="13.5" thickBot="1">
      <c r="A39" s="4"/>
      <c r="B39" s="4"/>
      <c r="C39" s="4" t="s">
        <v>305</v>
      </c>
      <c r="E39" s="89">
        <f>H26</f>
        <v>0</v>
      </c>
      <c r="F39" s="94" t="s">
        <v>371</v>
      </c>
      <c r="I39" s="88"/>
    </row>
    <row r="40" spans="1:18" ht="27" thickTop="1" thickBot="1">
      <c r="I40" s="88"/>
      <c r="J40" s="98" t="s">
        <v>243</v>
      </c>
      <c r="K40" s="67" t="s">
        <v>306</v>
      </c>
      <c r="L40" s="67" t="s">
        <v>377</v>
      </c>
      <c r="M40" s="1675" t="s">
        <v>149</v>
      </c>
      <c r="N40" s="1676"/>
      <c r="O40" s="1677"/>
      <c r="P40" s="21" t="s">
        <v>150</v>
      </c>
      <c r="Q40" s="22" t="s">
        <v>282</v>
      </c>
      <c r="R40" s="95" t="s">
        <v>279</v>
      </c>
    </row>
    <row r="41" spans="1:18" ht="27" thickTop="1" thickBot="1">
      <c r="A41" s="20" t="s">
        <v>414</v>
      </c>
      <c r="B41" s="92" t="s">
        <v>374</v>
      </c>
      <c r="C41" s="1669" t="s">
        <v>149</v>
      </c>
      <c r="D41" s="1670"/>
      <c r="E41" s="1671"/>
      <c r="F41" s="21" t="s">
        <v>150</v>
      </c>
      <c r="G41" s="22" t="s">
        <v>282</v>
      </c>
      <c r="H41" s="95" t="s">
        <v>279</v>
      </c>
      <c r="I41" s="1556"/>
      <c r="J41" s="99"/>
      <c r="K41" s="78"/>
      <c r="L41" s="78"/>
      <c r="M41" s="27" t="s">
        <v>244</v>
      </c>
      <c r="N41" s="28" t="s">
        <v>145</v>
      </c>
      <c r="O41" s="29" t="s">
        <v>146</v>
      </c>
      <c r="P41" s="30"/>
      <c r="Q41" s="31"/>
      <c r="R41" s="97"/>
    </row>
    <row r="42" spans="1:18" ht="13.5" thickBot="1">
      <c r="A42" s="26" t="s">
        <v>373</v>
      </c>
      <c r="B42" s="78" t="s">
        <v>356</v>
      </c>
      <c r="C42" s="27" t="s">
        <v>244</v>
      </c>
      <c r="D42" s="28" t="s">
        <v>145</v>
      </c>
      <c r="E42" s="29" t="s">
        <v>146</v>
      </c>
      <c r="F42" s="30"/>
      <c r="G42" s="31"/>
      <c r="H42" s="96"/>
      <c r="I42" s="1556"/>
      <c r="J42" s="1552">
        <f>C17</f>
        <v>9728</v>
      </c>
      <c r="K42" s="1571">
        <f>E38</f>
        <v>1.4933333333333334</v>
      </c>
      <c r="L42" s="1509">
        <f>H26</f>
        <v>0</v>
      </c>
      <c r="M42" s="1553">
        <f>C34</f>
        <v>3497.2526923804312</v>
      </c>
      <c r="N42" s="1553">
        <f>D34+((J42*2)*Materials!D88)+((J42*0.1666667)*Materials!D90)+Year3!N14</f>
        <v>8665.8662154198901</v>
      </c>
      <c r="O42" s="1553">
        <f>E34+((J42/6)*Materials!D94)+((J42/6)*Materials!D96)+((J42/6)*Materials!D97)</f>
        <v>10537.354917558971</v>
      </c>
      <c r="P42" s="1553">
        <f>SUM(M42:O42)</f>
        <v>22700.473825359291</v>
      </c>
      <c r="Q42" s="1554">
        <f>($J42*K42)+((B17*E5)*L42)</f>
        <v>14527.146666666667</v>
      </c>
      <c r="R42" s="1555">
        <f>Q42-P42</f>
        <v>-8173.3271586926239</v>
      </c>
    </row>
    <row r="43" spans="1:18">
      <c r="A43" s="1572">
        <f t="shared" ref="A43:B47" si="0">C17</f>
        <v>9728</v>
      </c>
      <c r="B43" s="1573">
        <f t="shared" si="0"/>
        <v>1621.3365760000002</v>
      </c>
      <c r="C43" s="1574">
        <f>C34</f>
        <v>3497.2526923804312</v>
      </c>
      <c r="D43" s="1574">
        <f>D34+((A43*2)*Materials!D88)+((A43*0.1666667)*Materials!D90)+Year3!N14</f>
        <v>8665.8662154198901</v>
      </c>
      <c r="E43" s="1574">
        <f>E34+(B43*Materials!D94)+(B43*Materials!D96)+(B43*Materials!D97)</f>
        <v>10537.368698892307</v>
      </c>
      <c r="F43" s="1574">
        <f>SUM(C43:E43)</f>
        <v>22700.48760669263</v>
      </c>
      <c r="G43" s="1575">
        <f>($B43*G38)+((B17*E5)*E39)</f>
        <v>14527.175720960002</v>
      </c>
      <c r="H43" s="1576">
        <f>G43-F43</f>
        <v>-8173.3118857326281</v>
      </c>
      <c r="I43" s="1556"/>
      <c r="J43" s="1552">
        <f>C18</f>
        <v>12160</v>
      </c>
      <c r="K43" s="1571">
        <f>E51</f>
        <v>1.8666666666666667</v>
      </c>
      <c r="L43" s="1509">
        <f>H26</f>
        <v>0</v>
      </c>
      <c r="M43" s="1553">
        <f>C34</f>
        <v>3497.2526923804312</v>
      </c>
      <c r="N43" s="1553">
        <f>D34+((J43*2)*Materials!D88)+((J43*0.1666667)*Materials!D90)+Year3!N14</f>
        <v>9934.5596906198898</v>
      </c>
      <c r="O43" s="1553">
        <f>E34+((J43/6)*Materials!D94)+((J43/6)*Materials!D96)+((J43/6)*Materials!D97)</f>
        <v>12260.021584225638</v>
      </c>
      <c r="P43" s="1553">
        <f>SUM(M43:O43)</f>
        <v>25691.833967225961</v>
      </c>
      <c r="Q43" s="1554">
        <f>($J43*K43)+((B18*E5)*L43)</f>
        <v>22698.666666666668</v>
      </c>
      <c r="R43" s="1557">
        <f>Q43-P43</f>
        <v>-2993.1673005592929</v>
      </c>
    </row>
    <row r="44" spans="1:18">
      <c r="A44" s="1572">
        <f t="shared" si="0"/>
        <v>12160</v>
      </c>
      <c r="B44" s="1577">
        <f t="shared" si="0"/>
        <v>2026.6707200000001</v>
      </c>
      <c r="C44" s="1574">
        <f>C34</f>
        <v>3497.2526923804312</v>
      </c>
      <c r="D44" s="1574">
        <f>D34+((A44*2)*Materials!D88)+((A44*0.1666667)*Materials!D90)+Year3!N14</f>
        <v>9934.5596906198898</v>
      </c>
      <c r="E44" s="1574">
        <f>E34+(B44*Materials!D94)+(B44*Materials!D96)+(B44*Materials!D97)</f>
        <v>12260.038810892303</v>
      </c>
      <c r="F44" s="1574">
        <f>SUM(C44:E44)</f>
        <v>25691.851193892624</v>
      </c>
      <c r="G44" s="1575">
        <f>($B44*G38)+((B18*E5)*E39)</f>
        <v>18158.969651200001</v>
      </c>
      <c r="H44" s="1578">
        <f>G44-F44</f>
        <v>-7532.881542692623</v>
      </c>
      <c r="I44" s="1556"/>
      <c r="J44" s="1558">
        <f>C19</f>
        <v>15200</v>
      </c>
      <c r="K44" s="1579">
        <f>E64</f>
        <v>2.3333333333333335</v>
      </c>
      <c r="L44" s="1560">
        <f>H26</f>
        <v>0</v>
      </c>
      <c r="M44" s="1561">
        <f>C34</f>
        <v>3497.2526923804312</v>
      </c>
      <c r="N44" s="1561">
        <f>D34+((J44*2)*Materials!D88)+((J44*0.1666667)*Materials!D90)+Year3!N14</f>
        <v>11520.42653461989</v>
      </c>
      <c r="O44" s="1561">
        <f>E34+((J44/6)*Materials!D94)+((J44/6)*Materials!D96)+((J44/6)*Materials!D97)</f>
        <v>14413.354917558972</v>
      </c>
      <c r="P44" s="1561">
        <f>SUM(M44:O44)</f>
        <v>29431.034144559293</v>
      </c>
      <c r="Q44" s="1562">
        <f>($J44*K44)+((B19*E5)*L44)</f>
        <v>35466.666666666672</v>
      </c>
      <c r="R44" s="1563">
        <f>Q44-P44</f>
        <v>6035.6325221073785</v>
      </c>
    </row>
    <row r="45" spans="1:18">
      <c r="A45" s="1580">
        <f t="shared" si="0"/>
        <v>15200</v>
      </c>
      <c r="B45" s="1581">
        <f t="shared" si="0"/>
        <v>2533.3384000000001</v>
      </c>
      <c r="C45" s="1582">
        <f>C34</f>
        <v>3497.2526923804312</v>
      </c>
      <c r="D45" s="1582">
        <f>D34+(((A45*2)*Materials!D88)+(((A45*0.1666667)*Materials!D90)))+Year3!N14</f>
        <v>11520.42653461989</v>
      </c>
      <c r="E45" s="1582">
        <f>E34+(B45*Materials!D94)+(B45*Materials!D96)+(B45*Materials!D97)</f>
        <v>14413.376450892305</v>
      </c>
      <c r="F45" s="1582">
        <f>SUM(C45:E45)</f>
        <v>29431.055677892626</v>
      </c>
      <c r="G45" s="1583">
        <f>($B45*G38)+((B19*E5)*E39)</f>
        <v>22698.712064000003</v>
      </c>
      <c r="H45" s="1584">
        <f>G45-F45</f>
        <v>-6732.3436138926227</v>
      </c>
      <c r="I45" s="1585"/>
      <c r="J45" s="1552">
        <f>C20</f>
        <v>18240</v>
      </c>
      <c r="K45" s="1571">
        <f>E78</f>
        <v>2.8000000000000003</v>
      </c>
      <c r="L45" s="1509">
        <f>H26</f>
        <v>0</v>
      </c>
      <c r="M45" s="1553">
        <f>C34</f>
        <v>3497.2526923804312</v>
      </c>
      <c r="N45" s="1553">
        <f>D34+((J45*2)*Materials!D88)+((J45*0.1666667)*Materials!D90)+Year3!N14</f>
        <v>13106.293378619888</v>
      </c>
      <c r="O45" s="1553">
        <f>E34+((J45/6)*Materials!D94)+((J45/6)*Materials!D96)+((J45/6)*Materials!D97)</f>
        <v>16566.688250892304</v>
      </c>
      <c r="P45" s="1553">
        <f>SUM(M45:O45)</f>
        <v>33170.234321892625</v>
      </c>
      <c r="Q45" s="1554">
        <f>($J45*K45)+((B20*E5)*L45)</f>
        <v>51072.000000000007</v>
      </c>
      <c r="R45" s="1557">
        <f>Q45-P45</f>
        <v>17901.765678107382</v>
      </c>
    </row>
    <row r="46" spans="1:18" ht="13.5" thickBot="1">
      <c r="A46" s="1572">
        <f t="shared" si="0"/>
        <v>18240</v>
      </c>
      <c r="B46" s="1577">
        <f t="shared" si="0"/>
        <v>3040.0060800000001</v>
      </c>
      <c r="C46" s="1574">
        <f>C34</f>
        <v>3497.2526923804312</v>
      </c>
      <c r="D46" s="1574">
        <f>D34+((A46*2)*Materials!D88)+((A46*0.1666667)*Materials!D90)+Year3!N14</f>
        <v>13106.293378619888</v>
      </c>
      <c r="E46" s="1574">
        <f>E34+(B46*Materials!D94)+(B46*Materials!D96)+(B46*Materials!D97)</f>
        <v>16566.714090892307</v>
      </c>
      <c r="F46" s="1574">
        <f>SUM(C46:E46)</f>
        <v>33170.260161892627</v>
      </c>
      <c r="G46" s="1575">
        <f>($B46*G38)+((B20*E5)*E39)</f>
        <v>27238.454476800005</v>
      </c>
      <c r="H46" s="1578">
        <f>G46-F46</f>
        <v>-5931.8056850926223</v>
      </c>
      <c r="I46" s="1556"/>
      <c r="J46" s="1564">
        <f>C21</f>
        <v>21888</v>
      </c>
      <c r="K46" s="1586">
        <f>E89</f>
        <v>3.3600000000000003</v>
      </c>
      <c r="L46" s="1566">
        <f>H26</f>
        <v>0</v>
      </c>
      <c r="M46" s="1567">
        <f>C34</f>
        <v>3497.2526923804312</v>
      </c>
      <c r="N46" s="1567">
        <f>D34+((J46*2)*Materials!D88)+((J46*0.1666667)*Materials!D90)+Year3!N14</f>
        <v>15009.333591419889</v>
      </c>
      <c r="O46" s="1567">
        <f>E34+((J46/6)*Materials!D94)+((J46/6)*Materials!D96)+((J46/6)*Materials!D97)</f>
        <v>19150.688250892304</v>
      </c>
      <c r="P46" s="101">
        <f>SUM(M46:O46)</f>
        <v>37657.274534692624</v>
      </c>
      <c r="Q46" s="1568">
        <f>($J46*K46)+((B21*E5)*L46)</f>
        <v>73543.680000000008</v>
      </c>
      <c r="R46" s="1569">
        <f>Q46-P46</f>
        <v>35886.405465307384</v>
      </c>
    </row>
    <row r="47" spans="1:18" ht="13.5" thickBot="1">
      <c r="A47" s="1587">
        <f t="shared" si="0"/>
        <v>21888</v>
      </c>
      <c r="B47" s="1588">
        <f t="shared" si="0"/>
        <v>3648.0072960000002</v>
      </c>
      <c r="C47" s="1589">
        <f>C34</f>
        <v>3497.2526923804312</v>
      </c>
      <c r="D47" s="1589">
        <f>D34+((A47*2)*Materials!D88)+((A47*0.1666667)*Materials!D90)+Year3!N14</f>
        <v>15009.333591419889</v>
      </c>
      <c r="E47" s="1589">
        <f>E34+(B47*Materials!D94)+(B47*Materials!D96)+(B47*Materials!D97)</f>
        <v>19150.719258892306</v>
      </c>
      <c r="F47" s="104">
        <f>SUM(C47:E47)</f>
        <v>37657.305542692629</v>
      </c>
      <c r="G47" s="1590">
        <f>($B47*G38)+((B21*E5)*E39)</f>
        <v>32686.145372160005</v>
      </c>
      <c r="H47" s="1578">
        <f>G47-F47</f>
        <v>-4971.1601705326248</v>
      </c>
      <c r="J47" s="1536">
        <f>E4</f>
        <v>0.8</v>
      </c>
      <c r="K47" s="764" t="s">
        <v>308</v>
      </c>
      <c r="L47" s="1536">
        <f>E5</f>
        <v>0.19999999999999996</v>
      </c>
      <c r="M47" s="764" t="s">
        <v>336</v>
      </c>
    </row>
    <row r="50" spans="1:9">
      <c r="I50" s="88"/>
    </row>
    <row r="51" spans="1:9" ht="12.75" customHeight="1">
      <c r="A51" s="4" t="s">
        <v>280</v>
      </c>
      <c r="B51" s="4"/>
      <c r="C51" s="4" t="s">
        <v>304</v>
      </c>
      <c r="E51" s="89">
        <f>E64-(E64*H27)</f>
        <v>1.8666666666666667</v>
      </c>
      <c r="F51" s="94" t="s">
        <v>371</v>
      </c>
      <c r="G51" s="93">
        <f>E51*6</f>
        <v>11.2</v>
      </c>
      <c r="H51" s="94" t="s">
        <v>372</v>
      </c>
      <c r="I51" s="88"/>
    </row>
    <row r="52" spans="1:9">
      <c r="A52" s="4"/>
      <c r="B52" s="4"/>
      <c r="C52" s="4" t="s">
        <v>305</v>
      </c>
      <c r="E52" s="89">
        <f>+H26</f>
        <v>0</v>
      </c>
      <c r="F52" s="94" t="s">
        <v>371</v>
      </c>
      <c r="I52" s="1556"/>
    </row>
    <row r="53" spans="1:9" ht="13.5" thickBot="1">
      <c r="I53" s="1556"/>
    </row>
    <row r="54" spans="1:9" ht="26.25" thickTop="1">
      <c r="A54" s="20" t="s">
        <v>414</v>
      </c>
      <c r="B54" s="92" t="s">
        <v>374</v>
      </c>
      <c r="C54" s="1669" t="s">
        <v>149</v>
      </c>
      <c r="D54" s="1670"/>
      <c r="E54" s="1671"/>
      <c r="F54" s="21" t="s">
        <v>150</v>
      </c>
      <c r="G54" s="22" t="s">
        <v>282</v>
      </c>
      <c r="H54" s="95" t="s">
        <v>279</v>
      </c>
      <c r="I54" s="1591"/>
    </row>
    <row r="55" spans="1:9" ht="13.5" thickBot="1">
      <c r="A55" s="26" t="s">
        <v>373</v>
      </c>
      <c r="B55" s="78" t="s">
        <v>356</v>
      </c>
      <c r="C55" s="27" t="s">
        <v>244</v>
      </c>
      <c r="D55" s="28" t="s">
        <v>145</v>
      </c>
      <c r="E55" s="29" t="s">
        <v>146</v>
      </c>
      <c r="F55" s="30"/>
      <c r="G55" s="31"/>
      <c r="H55" s="97"/>
      <c r="I55" s="1556"/>
    </row>
    <row r="56" spans="1:9">
      <c r="A56" s="1572">
        <f t="shared" ref="A56:B60" si="1">C17</f>
        <v>9728</v>
      </c>
      <c r="B56" s="1573">
        <f t="shared" si="1"/>
        <v>1621.3365760000002</v>
      </c>
      <c r="C56" s="1574">
        <f>C34</f>
        <v>3497.2526923804312</v>
      </c>
      <c r="D56" s="1574">
        <f>D34+((A56*2)*Materials!D88)+((A56*0.1666667)*Materials!D90)+Year3!N14</f>
        <v>8665.8662154198901</v>
      </c>
      <c r="E56" s="1574">
        <f>E34+(B56*Materials!D94)+(B56*Materials!D96)+(B56*Materials!D97)</f>
        <v>10537.368698892307</v>
      </c>
      <c r="F56" s="1574">
        <f>SUM(C56:E56)</f>
        <v>22700.48760669263</v>
      </c>
      <c r="G56" s="1575">
        <f>($B56*G51)+((B17*E5)*E52)</f>
        <v>18158.969651200001</v>
      </c>
      <c r="H56" s="1592">
        <f>G56-F56</f>
        <v>-4541.517955492629</v>
      </c>
      <c r="I56" s="1556"/>
    </row>
    <row r="57" spans="1:9">
      <c r="A57" s="1572">
        <f t="shared" si="1"/>
        <v>12160</v>
      </c>
      <c r="B57" s="1577">
        <f t="shared" si="1"/>
        <v>2026.6707200000001</v>
      </c>
      <c r="C57" s="1574">
        <f>C34</f>
        <v>3497.2526923804312</v>
      </c>
      <c r="D57" s="1574">
        <f>D34+((A57*2)*Materials!D88)+((A57*0.1666667)*Materials!D90)+Year3!N14</f>
        <v>9934.5596906198898</v>
      </c>
      <c r="E57" s="1574">
        <f>E34+(B57*Materials!D94)+(B57*Materials!D96)+(B57*Materials!D97)</f>
        <v>12260.038810892303</v>
      </c>
      <c r="F57" s="1574">
        <f>SUM(C57:E57)</f>
        <v>25691.851193892624</v>
      </c>
      <c r="G57" s="1575">
        <f>($B57*G51)+((B18*E5)*E52)</f>
        <v>22698.712063999999</v>
      </c>
      <c r="H57" s="1593">
        <f>G57-F57</f>
        <v>-2993.1391298926246</v>
      </c>
    </row>
    <row r="58" spans="1:9">
      <c r="A58" s="1580">
        <f t="shared" si="1"/>
        <v>15200</v>
      </c>
      <c r="B58" s="1581">
        <f t="shared" si="1"/>
        <v>2533.3384000000001</v>
      </c>
      <c r="C58" s="1582">
        <f>C34</f>
        <v>3497.2526923804312</v>
      </c>
      <c r="D58" s="1582">
        <f>D34+((A58*2)*Materials!D88)+((A58*0.1666667)*Materials!D90)+Year3!N14</f>
        <v>11520.42653461989</v>
      </c>
      <c r="E58" s="1582">
        <f>E34+(B58*Materials!D94)+(B58*Materials!D96)+(B58*Materials!D97)</f>
        <v>14413.376450892305</v>
      </c>
      <c r="F58" s="1582">
        <f>SUM(C58:E58)</f>
        <v>29431.055677892626</v>
      </c>
      <c r="G58" s="1583">
        <f>($B58*G51)+((B19*E5)*E52)</f>
        <v>28373.390080000001</v>
      </c>
      <c r="H58" s="1594">
        <f>G58-F58</f>
        <v>-1057.6655978926246</v>
      </c>
    </row>
    <row r="59" spans="1:9">
      <c r="A59" s="1572">
        <f t="shared" si="1"/>
        <v>18240</v>
      </c>
      <c r="B59" s="1577">
        <f t="shared" si="1"/>
        <v>3040.0060800000001</v>
      </c>
      <c r="C59" s="1574">
        <f>C34</f>
        <v>3497.2526923804312</v>
      </c>
      <c r="D59" s="1574">
        <f>D34+((A59*2)*Materials!D88)+((A59*0.1666667)*Materials!D90)+Year3!N14</f>
        <v>13106.293378619888</v>
      </c>
      <c r="E59" s="1574">
        <f>E34+(B59*Materials!D94)+(B59*Materials!D96)+(B59*Materials!D97)</f>
        <v>16566.714090892307</v>
      </c>
      <c r="F59" s="1574">
        <f>SUM(C59:E59)</f>
        <v>33170.260161892627</v>
      </c>
      <c r="G59" s="1575">
        <f>($B59*G51)+((B20*E5)*E52)</f>
        <v>34048.068096000003</v>
      </c>
      <c r="H59" s="1593">
        <f>G59-F59</f>
        <v>877.80793410737533</v>
      </c>
    </row>
    <row r="60" spans="1:9" ht="13.5" thickBot="1">
      <c r="A60" s="1587">
        <f t="shared" si="1"/>
        <v>21888</v>
      </c>
      <c r="B60" s="1588">
        <f t="shared" si="1"/>
        <v>3648.0072960000002</v>
      </c>
      <c r="C60" s="1589">
        <f>C34</f>
        <v>3497.2526923804312</v>
      </c>
      <c r="D60" s="1589">
        <f>D34+((A60*2)*Materials!D88)+((A60*0.1666667)*Materials!D90)+Year3!N14</f>
        <v>15009.333591419889</v>
      </c>
      <c r="E60" s="1589">
        <f>E34+(B60*Materials!D94)+(B60*Materials!D96)+(B60*Materials!D97)</f>
        <v>19150.719258892306</v>
      </c>
      <c r="F60" s="104">
        <f>SUM(C60:E60)</f>
        <v>37657.305542692629</v>
      </c>
      <c r="G60" s="1590">
        <f>($B60*G51)+((B21*E5)*E52)</f>
        <v>40857.6817152</v>
      </c>
      <c r="H60" s="1592">
        <f>G60-F60</f>
        <v>3200.3761725073709</v>
      </c>
    </row>
    <row r="61" spans="1:9">
      <c r="I61" s="88"/>
    </row>
    <row r="62" spans="1:9">
      <c r="A62" s="279" t="s">
        <v>593</v>
      </c>
      <c r="I62" s="88"/>
    </row>
    <row r="63" spans="1:9">
      <c r="I63" s="1556"/>
    </row>
    <row r="64" spans="1:9">
      <c r="A64" s="4" t="s">
        <v>280</v>
      </c>
      <c r="C64" s="4" t="s">
        <v>306</v>
      </c>
      <c r="E64" s="90">
        <f>H25</f>
        <v>2.3333333333333335</v>
      </c>
      <c r="F64" s="94" t="s">
        <v>371</v>
      </c>
      <c r="G64" s="61">
        <f>E64*6</f>
        <v>14</v>
      </c>
      <c r="H64" s="94" t="s">
        <v>372</v>
      </c>
      <c r="I64" s="1556"/>
    </row>
    <row r="65" spans="1:9">
      <c r="B65" s="4"/>
      <c r="C65" s="4" t="s">
        <v>307</v>
      </c>
      <c r="E65" s="90">
        <f>H26</f>
        <v>0</v>
      </c>
      <c r="F65" s="94" t="s">
        <v>371</v>
      </c>
      <c r="I65" s="1556"/>
    </row>
    <row r="66" spans="1:9" ht="13.5" thickBot="1">
      <c r="I66" s="1556"/>
    </row>
    <row r="67" spans="1:9" ht="26.25" thickTop="1">
      <c r="A67" s="20" t="s">
        <v>414</v>
      </c>
      <c r="B67" s="92" t="s">
        <v>374</v>
      </c>
      <c r="C67" s="1669" t="s">
        <v>149</v>
      </c>
      <c r="D67" s="1670"/>
      <c r="E67" s="1671"/>
      <c r="F67" s="21" t="s">
        <v>150</v>
      </c>
      <c r="G67" s="22" t="s">
        <v>282</v>
      </c>
      <c r="H67" s="95" t="s">
        <v>279</v>
      </c>
      <c r="I67" s="1556"/>
    </row>
    <row r="68" spans="1:9" ht="13.5" thickBot="1">
      <c r="A68" s="26" t="s">
        <v>373</v>
      </c>
      <c r="B68" s="78" t="s">
        <v>356</v>
      </c>
      <c r="C68" s="27" t="s">
        <v>244</v>
      </c>
      <c r="D68" s="28" t="s">
        <v>145</v>
      </c>
      <c r="E68" s="29" t="s">
        <v>146</v>
      </c>
      <c r="F68" s="30"/>
      <c r="G68" s="31"/>
      <c r="H68" s="96"/>
      <c r="I68" s="1556"/>
    </row>
    <row r="69" spans="1:9">
      <c r="A69" s="1572">
        <f t="shared" ref="A69:B73" si="2">C17</f>
        <v>9728</v>
      </c>
      <c r="B69" s="1573">
        <f t="shared" si="2"/>
        <v>1621.3365760000002</v>
      </c>
      <c r="C69" s="1574">
        <f>C34</f>
        <v>3497.2526923804312</v>
      </c>
      <c r="D69" s="1574">
        <f>D34+((A69*2)*Materials!D88)+((A69*0.1666667)*Materials!D90)+Year3!N14</f>
        <v>8665.8662154198901</v>
      </c>
      <c r="E69" s="1574">
        <f>E34+(B69*Materials!D94)+(B69*Materials!D96)+(B69*Materials!D97)</f>
        <v>10537.368698892307</v>
      </c>
      <c r="F69" s="1574">
        <f>SUM(C69:E69)</f>
        <v>22700.48760669263</v>
      </c>
      <c r="G69" s="1575">
        <f>($B69*G64)+((B17*E5)*E65)</f>
        <v>22698.712064000003</v>
      </c>
      <c r="H69" s="1595">
        <f>G69-F69</f>
        <v>-1.7755426926269138</v>
      </c>
      <c r="I69" s="1556"/>
    </row>
    <row r="70" spans="1:9">
      <c r="A70" s="1572">
        <f t="shared" si="2"/>
        <v>12160</v>
      </c>
      <c r="B70" s="1577">
        <f t="shared" si="2"/>
        <v>2026.6707200000001</v>
      </c>
      <c r="C70" s="1574">
        <f>C34</f>
        <v>3497.2526923804312</v>
      </c>
      <c r="D70" s="1574">
        <f>D34+((A70*2)*Materials!D88)+((A70*0.1666667)*Materials!D90)+Year3!N14</f>
        <v>9934.5596906198898</v>
      </c>
      <c r="E70" s="1574">
        <f>E34+(B70*Materials!D94)+(B70*Materials!D96)+(B70*Materials!D97)</f>
        <v>12260.038810892303</v>
      </c>
      <c r="F70" s="1574">
        <f>SUM(C70:E70)</f>
        <v>25691.851193892624</v>
      </c>
      <c r="G70" s="1575">
        <f>($B70*G64)+((B18*E5)*E65)</f>
        <v>28373.390080000001</v>
      </c>
      <c r="H70" s="1595">
        <f>G70-F70</f>
        <v>2681.538886107377</v>
      </c>
      <c r="I70" s="1556"/>
    </row>
    <row r="71" spans="1:9">
      <c r="A71" s="1596">
        <f t="shared" si="2"/>
        <v>15200</v>
      </c>
      <c r="B71" s="1597">
        <f t="shared" si="2"/>
        <v>2533.3384000000001</v>
      </c>
      <c r="C71" s="1598">
        <f>C34</f>
        <v>3497.2526923804312</v>
      </c>
      <c r="D71" s="1598">
        <f>D34+((A71*2)*Materials!D88)+((A71*0.1666667)*Materials!D90)+Year3!N14</f>
        <v>11520.42653461989</v>
      </c>
      <c r="E71" s="1598">
        <f>E34+(B71*Materials!D94)+(B71*Materials!D96)+(B71*Materials!D97)</f>
        <v>14413.376450892305</v>
      </c>
      <c r="F71" s="1598">
        <f>SUM(C71:E71)</f>
        <v>29431.055677892626</v>
      </c>
      <c r="G71" s="1599">
        <f>($B71*G64)+((B19*E5)*E65)</f>
        <v>35466.7376</v>
      </c>
      <c r="H71" s="1600">
        <f>G71-F71</f>
        <v>6035.6819221073747</v>
      </c>
      <c r="I71" s="1556"/>
    </row>
    <row r="72" spans="1:9">
      <c r="A72" s="1572">
        <f t="shared" si="2"/>
        <v>18240</v>
      </c>
      <c r="B72" s="1577">
        <f t="shared" si="2"/>
        <v>3040.0060800000001</v>
      </c>
      <c r="C72" s="1574">
        <f>C34</f>
        <v>3497.2526923804312</v>
      </c>
      <c r="D72" s="1574">
        <f>D34+((A72*2)*Materials!D88)+((A72*0.1666667)*Materials!D90)+Year3!N14</f>
        <v>13106.293378619888</v>
      </c>
      <c r="E72" s="1574">
        <f>E34+(B72*Materials!D94)+(B72*Materials!D96)+(B72*Materials!D97)</f>
        <v>16566.714090892307</v>
      </c>
      <c r="F72" s="1574">
        <f>SUM(C72:E72)</f>
        <v>33170.260161892627</v>
      </c>
      <c r="G72" s="1575">
        <f>($B72*G64)+((B20*E5)*E65)</f>
        <v>42560.085120000003</v>
      </c>
      <c r="H72" s="1595">
        <f>G72-F72</f>
        <v>9389.824958107376</v>
      </c>
      <c r="I72" s="1556"/>
    </row>
    <row r="73" spans="1:9" ht="13.5" thickBot="1">
      <c r="A73" s="1587">
        <f t="shared" si="2"/>
        <v>21888</v>
      </c>
      <c r="B73" s="1588">
        <f t="shared" si="2"/>
        <v>3648.0072960000002</v>
      </c>
      <c r="C73" s="1589">
        <f>C34</f>
        <v>3497.2526923804312</v>
      </c>
      <c r="D73" s="1589">
        <f>D34+((A73*2)*Materials!D88)+((A73*0.1666667)*Materials!D90)+Year3!N14</f>
        <v>15009.333591419889</v>
      </c>
      <c r="E73" s="1589">
        <f>E34+(B73*Materials!D94)+(B73*Materials!D96)+(B73*Materials!D97)</f>
        <v>19150.719258892306</v>
      </c>
      <c r="F73" s="104">
        <f>SUM(C73:E73)</f>
        <v>37657.305542692629</v>
      </c>
      <c r="G73" s="1590">
        <f>($B73*G64)+((B21*E5)*E65)</f>
        <v>51072.102144000004</v>
      </c>
      <c r="H73" s="1595">
        <f>G73-F73</f>
        <v>13414.796601307375</v>
      </c>
      <c r="I73" s="1556"/>
    </row>
    <row r="74" spans="1:9">
      <c r="A74" s="1601"/>
      <c r="B74" s="1602"/>
      <c r="C74" s="1509"/>
      <c r="D74" s="1509"/>
      <c r="E74" s="1509"/>
      <c r="F74" s="262"/>
      <c r="G74" s="1509"/>
      <c r="H74" s="1603"/>
      <c r="I74" s="1556"/>
    </row>
    <row r="75" spans="1:9">
      <c r="A75" s="1601"/>
      <c r="B75" s="1602"/>
      <c r="C75" s="1509"/>
      <c r="D75" s="1509"/>
      <c r="E75" s="1509"/>
      <c r="F75" s="262"/>
      <c r="G75" s="1509"/>
      <c r="H75" s="1603"/>
      <c r="I75" s="1556"/>
    </row>
    <row r="76" spans="1:9" ht="13.5" customHeight="1"/>
    <row r="78" spans="1:9">
      <c r="A78" s="4" t="s">
        <v>280</v>
      </c>
      <c r="B78" s="4"/>
      <c r="C78" s="4" t="s">
        <v>306</v>
      </c>
      <c r="E78" s="89">
        <f>E64+(E64*H27)</f>
        <v>2.8000000000000003</v>
      </c>
      <c r="F78" s="94" t="s">
        <v>371</v>
      </c>
      <c r="G78" s="93">
        <f>E78*6</f>
        <v>16.8</v>
      </c>
      <c r="H78" s="94" t="s">
        <v>372</v>
      </c>
    </row>
    <row r="79" spans="1:9">
      <c r="C79" s="4" t="s">
        <v>307</v>
      </c>
      <c r="E79" s="89">
        <f>H26</f>
        <v>0</v>
      </c>
      <c r="F79" s="94" t="s">
        <v>371</v>
      </c>
    </row>
    <row r="80" spans="1:9" ht="13.5" thickBot="1"/>
    <row r="81" spans="1:9" ht="26.25" thickTop="1">
      <c r="A81" s="20" t="s">
        <v>414</v>
      </c>
      <c r="B81" s="92" t="s">
        <v>374</v>
      </c>
      <c r="C81" s="1669" t="s">
        <v>149</v>
      </c>
      <c r="D81" s="1670"/>
      <c r="E81" s="1671"/>
      <c r="F81" s="21" t="s">
        <v>150</v>
      </c>
      <c r="G81" s="22" t="s">
        <v>282</v>
      </c>
      <c r="H81" s="95" t="s">
        <v>279</v>
      </c>
      <c r="I81" s="88"/>
    </row>
    <row r="82" spans="1:9" ht="13.5" thickBot="1">
      <c r="A82" s="26" t="s">
        <v>373</v>
      </c>
      <c r="B82" s="78" t="s">
        <v>356</v>
      </c>
      <c r="C82" s="27" t="s">
        <v>244</v>
      </c>
      <c r="D82" s="28" t="s">
        <v>145</v>
      </c>
      <c r="E82" s="29" t="s">
        <v>146</v>
      </c>
      <c r="F82" s="30"/>
      <c r="G82" s="31"/>
      <c r="H82" s="97"/>
      <c r="I82" s="88"/>
    </row>
    <row r="83" spans="1:9">
      <c r="A83" s="1572">
        <f t="shared" ref="A83:B87" si="3">C17</f>
        <v>9728</v>
      </c>
      <c r="B83" s="1573">
        <f t="shared" si="3"/>
        <v>1621.3365760000002</v>
      </c>
      <c r="C83" s="1574">
        <f>C34</f>
        <v>3497.2526923804312</v>
      </c>
      <c r="D83" s="1574">
        <f>D34+((A83*2)*Materials!D88)+((A83*0.1666667)*Materials!D90)+Year3!N14</f>
        <v>8665.8662154198901</v>
      </c>
      <c r="E83" s="1574">
        <f>E34+(B83*Materials!D94)+(B83*Materials!D96)+(B83*Materials!D97)</f>
        <v>10537.368698892307</v>
      </c>
      <c r="F83" s="1574">
        <f>SUM(C83:E83)</f>
        <v>22700.48760669263</v>
      </c>
      <c r="G83" s="1575">
        <f>($B83*G78)+((B17*E5)*E79)</f>
        <v>27238.454476800005</v>
      </c>
      <c r="H83" s="1592">
        <f>G83-F83</f>
        <v>4537.9668701073751</v>
      </c>
      <c r="I83" s="1556"/>
    </row>
    <row r="84" spans="1:9">
      <c r="A84" s="1572">
        <f t="shared" si="3"/>
        <v>12160</v>
      </c>
      <c r="B84" s="1577">
        <f t="shared" si="3"/>
        <v>2026.6707200000001</v>
      </c>
      <c r="C84" s="1574">
        <f>C34</f>
        <v>3497.2526923804312</v>
      </c>
      <c r="D84" s="1574">
        <f>D34+((A84*2)*Materials!D88)+((A84*0.1666667)*Materials!D90)+Year3!N14</f>
        <v>9934.5596906198898</v>
      </c>
      <c r="E84" s="1574">
        <f>E34+(B84*Materials!D94)+(B84*Materials!D96)+(B84*Materials!D97)</f>
        <v>12260.038810892303</v>
      </c>
      <c r="F84" s="1574">
        <f>SUM(C84:E84)</f>
        <v>25691.851193892624</v>
      </c>
      <c r="G84" s="1575">
        <f>($B84*G78)+((B18*E5)*E79)</f>
        <v>34048.068096000003</v>
      </c>
      <c r="H84" s="1593">
        <f>G84-F84</f>
        <v>8356.2169021073787</v>
      </c>
      <c r="I84" s="1556"/>
    </row>
    <row r="85" spans="1:9">
      <c r="A85" s="1580">
        <f t="shared" si="3"/>
        <v>15200</v>
      </c>
      <c r="B85" s="1581">
        <f t="shared" si="3"/>
        <v>2533.3384000000001</v>
      </c>
      <c r="C85" s="1582">
        <f>C34</f>
        <v>3497.2526923804312</v>
      </c>
      <c r="D85" s="1582">
        <f>D34+((A85*2)*Materials!D88)+((A85*0.1666667)*Materials!D90)+Year3!N14</f>
        <v>11520.42653461989</v>
      </c>
      <c r="E85" s="1582">
        <f>E34+(B85*Materials!D94)+(B85*Materials!D96)+(B85*Materials!D97)</f>
        <v>14413.376450892305</v>
      </c>
      <c r="F85" s="1582">
        <f>SUM(C85:E85)</f>
        <v>29431.055677892626</v>
      </c>
      <c r="G85" s="1583">
        <f>($B85*G78)+((B19*E5)*E79)</f>
        <v>42560.085120000003</v>
      </c>
      <c r="H85" s="1594">
        <f>G85-F85</f>
        <v>13129.029442107378</v>
      </c>
      <c r="I85" s="1556"/>
    </row>
    <row r="86" spans="1:9">
      <c r="A86" s="1572">
        <f t="shared" si="3"/>
        <v>18240</v>
      </c>
      <c r="B86" s="1577">
        <f t="shared" si="3"/>
        <v>3040.0060800000001</v>
      </c>
      <c r="C86" s="1574">
        <f>C34</f>
        <v>3497.2526923804312</v>
      </c>
      <c r="D86" s="1574">
        <f>D34+((A86*2)*Materials!D88)+((A86*0.1666667)*Materials!D90)+Year3!N14</f>
        <v>13106.293378619888</v>
      </c>
      <c r="E86" s="1574">
        <f>E34+(B86*Materials!D94)+(B86*Materials!D96)+(B86*Materials!D97)</f>
        <v>16566.714090892307</v>
      </c>
      <c r="F86" s="1574">
        <f>SUM(C86:E86)</f>
        <v>33170.260161892627</v>
      </c>
      <c r="G86" s="1575">
        <f>($B86*G78)+((B20*E5)*E79)</f>
        <v>51072.102144000004</v>
      </c>
      <c r="H86" s="1593">
        <f>G86-F86</f>
        <v>17901.841982107377</v>
      </c>
      <c r="I86" s="1556"/>
    </row>
    <row r="87" spans="1:9" ht="13.5" thickBot="1">
      <c r="A87" s="1587">
        <f t="shared" si="3"/>
        <v>21888</v>
      </c>
      <c r="B87" s="1588">
        <f t="shared" si="3"/>
        <v>3648.0072960000002</v>
      </c>
      <c r="C87" s="1589">
        <f>C34</f>
        <v>3497.2526923804312</v>
      </c>
      <c r="D87" s="1589">
        <f>D34+((A87*2)*Materials!D88)+((A87*0.1666667)*Materials!D90)+Year3!N14</f>
        <v>15009.333591419889</v>
      </c>
      <c r="E87" s="1589">
        <f>E34+(B87*Materials!D94)+(B87*Materials!D96)+(B87*Materials!D97)</f>
        <v>19150.719258892306</v>
      </c>
      <c r="F87" s="104">
        <f>SUM(C87:E87)</f>
        <v>37657.305542692629</v>
      </c>
      <c r="G87" s="1590">
        <f>($B87*G78)+((B21*E5)*E79)</f>
        <v>61286.522572800008</v>
      </c>
      <c r="H87" s="1592">
        <f>G87-F87</f>
        <v>23629.217030107378</v>
      </c>
      <c r="I87" s="1556"/>
    </row>
    <row r="89" spans="1:9">
      <c r="A89" s="4" t="s">
        <v>280</v>
      </c>
      <c r="B89" s="4"/>
      <c r="C89" s="4" t="s">
        <v>306</v>
      </c>
      <c r="E89" s="89">
        <f>E78+(E78*H27)</f>
        <v>3.3600000000000003</v>
      </c>
      <c r="F89" s="94" t="s">
        <v>371</v>
      </c>
      <c r="G89" s="93">
        <f>E89*6</f>
        <v>20.160000000000004</v>
      </c>
      <c r="H89" s="94" t="s">
        <v>372</v>
      </c>
    </row>
    <row r="90" spans="1:9">
      <c r="A90" s="4"/>
      <c r="B90" s="4"/>
      <c r="C90" s="4" t="s">
        <v>307</v>
      </c>
      <c r="E90" s="89">
        <f>H26</f>
        <v>0</v>
      </c>
      <c r="F90" s="94" t="s">
        <v>371</v>
      </c>
    </row>
    <row r="91" spans="1:9" ht="13.5" thickBot="1"/>
    <row r="92" spans="1:9" ht="26.25" thickTop="1">
      <c r="A92" s="20" t="s">
        <v>414</v>
      </c>
      <c r="B92" s="92" t="s">
        <v>374</v>
      </c>
      <c r="C92" s="1669" t="s">
        <v>149</v>
      </c>
      <c r="D92" s="1670"/>
      <c r="E92" s="1671"/>
      <c r="F92" s="21" t="s">
        <v>150</v>
      </c>
      <c r="G92" s="22" t="s">
        <v>282</v>
      </c>
      <c r="H92" s="95" t="s">
        <v>279</v>
      </c>
    </row>
    <row r="93" spans="1:9" ht="13.5" thickBot="1">
      <c r="A93" s="26" t="s">
        <v>373</v>
      </c>
      <c r="B93" s="78" t="s">
        <v>356</v>
      </c>
      <c r="C93" s="27" t="s">
        <v>244</v>
      </c>
      <c r="D93" s="28" t="s">
        <v>145</v>
      </c>
      <c r="E93" s="29" t="s">
        <v>146</v>
      </c>
      <c r="F93" s="30"/>
      <c r="G93" s="31"/>
      <c r="H93" s="97"/>
    </row>
    <row r="94" spans="1:9">
      <c r="A94" s="1572">
        <f t="shared" ref="A94:B98" si="4">C17</f>
        <v>9728</v>
      </c>
      <c r="B94" s="1573">
        <f t="shared" si="4"/>
        <v>1621.3365760000002</v>
      </c>
      <c r="C94" s="1574">
        <f>C34</f>
        <v>3497.2526923804312</v>
      </c>
      <c r="D94" s="1574">
        <f>D34+((A94*2)*Materials!D88)+((A94*0.1666667)*Materials!D90)+Year3!N14</f>
        <v>8665.8662154198901</v>
      </c>
      <c r="E94" s="1604">
        <f>E34+(B94*Materials!D94)+(B94*Materials!D96)+(B94*Materials!D97)</f>
        <v>10537.368698892307</v>
      </c>
      <c r="F94" s="1574">
        <f>SUM(C94:E94)</f>
        <v>22700.48760669263</v>
      </c>
      <c r="G94" s="1575">
        <f>($B94*G89)+((B17*E5)*E90)</f>
        <v>32686.145372160008</v>
      </c>
      <c r="H94" s="1592">
        <f>G94-F94</f>
        <v>9985.6577654673783</v>
      </c>
    </row>
    <row r="95" spans="1:9">
      <c r="A95" s="1572">
        <f t="shared" si="4"/>
        <v>12160</v>
      </c>
      <c r="B95" s="1577">
        <f t="shared" si="4"/>
        <v>2026.6707200000001</v>
      </c>
      <c r="C95" s="1574">
        <f>C34</f>
        <v>3497.2526923804312</v>
      </c>
      <c r="D95" s="1574">
        <f>D34+((A95*2)*Materials!D88)+((A95*0.1666667)*Materials!D90)+Year3!N14</f>
        <v>9934.5596906198898</v>
      </c>
      <c r="E95" s="1574">
        <f>E34+(B95*Materials!D94)+(B95*Materials!D96)+(B95*Materials!D97)</f>
        <v>12260.038810892303</v>
      </c>
      <c r="F95" s="1574">
        <f>SUM(C95:E95)</f>
        <v>25691.851193892624</v>
      </c>
      <c r="G95" s="1575">
        <f>($B95*G89)+((B18*E5)*E90)</f>
        <v>40857.681715200008</v>
      </c>
      <c r="H95" s="1593">
        <f>G95-F95</f>
        <v>15165.830521307384</v>
      </c>
    </row>
    <row r="96" spans="1:9">
      <c r="A96" s="1580">
        <f t="shared" si="4"/>
        <v>15200</v>
      </c>
      <c r="B96" s="1581">
        <f t="shared" si="4"/>
        <v>2533.3384000000001</v>
      </c>
      <c r="C96" s="1582">
        <f>C34</f>
        <v>3497.2526923804312</v>
      </c>
      <c r="D96" s="1582">
        <f>D34+((A96*2)*Materials!D88)+((A96*0.1666667)*Materials!D90)+Year3!N14</f>
        <v>11520.42653461989</v>
      </c>
      <c r="E96" s="1582">
        <f>E34+(B96*Materials!D94)+(B96*Materials!D96)+(B96*Materials!D97)</f>
        <v>14413.376450892305</v>
      </c>
      <c r="F96" s="1582">
        <f>SUM(C96:E96)</f>
        <v>29431.055677892626</v>
      </c>
      <c r="G96" s="1583">
        <f>($B96*G89)+((B19*E5)*E90)</f>
        <v>51072.102144000011</v>
      </c>
      <c r="H96" s="1594">
        <f>G96-F96</f>
        <v>21641.046466107386</v>
      </c>
    </row>
    <row r="97" spans="1:8">
      <c r="A97" s="1572">
        <f t="shared" si="4"/>
        <v>18240</v>
      </c>
      <c r="B97" s="1577">
        <f t="shared" si="4"/>
        <v>3040.0060800000001</v>
      </c>
      <c r="C97" s="1574">
        <f>C34</f>
        <v>3497.2526923804312</v>
      </c>
      <c r="D97" s="1574">
        <f>D34+((A97*2)*Materials!D88)+((A97*0.1666667)*Materials!D90)+Year3!N14</f>
        <v>13106.293378619888</v>
      </c>
      <c r="E97" s="1574">
        <f>E34+(B97*Materials!D94)+(B97*Materials!D96)+(B97*Materials!D97)</f>
        <v>16566.714090892307</v>
      </c>
      <c r="F97" s="1574">
        <f>SUM(C97:E97)</f>
        <v>33170.260161892627</v>
      </c>
      <c r="G97" s="1575">
        <f>($B97*G89)+((B20*E5)*E90)</f>
        <v>61286.522572800015</v>
      </c>
      <c r="H97" s="1593">
        <f>G97-F97</f>
        <v>28116.262410907388</v>
      </c>
    </row>
    <row r="98" spans="1:8" ht="13.5" thickBot="1">
      <c r="A98" s="1587">
        <f t="shared" si="4"/>
        <v>21888</v>
      </c>
      <c r="B98" s="1588">
        <f t="shared" si="4"/>
        <v>3648.0072960000002</v>
      </c>
      <c r="C98" s="1589">
        <f>C34</f>
        <v>3497.2526923804312</v>
      </c>
      <c r="D98" s="1589">
        <f>D34+((A98*2)*Materials!D88)+((A98*0.1666667)*Materials!D90)+Year3!N14</f>
        <v>15009.333591419889</v>
      </c>
      <c r="E98" s="1589">
        <f>E34+(B98*Materials!D94)+(B98*Materials!D96)+(B98*Materials!D97)</f>
        <v>19150.719258892306</v>
      </c>
      <c r="F98" s="104">
        <f>SUM(C98:E98)</f>
        <v>37657.305542692629</v>
      </c>
      <c r="G98" s="1590">
        <f>($B98*G89)+((B21*E5)*E90)</f>
        <v>73543.827087360012</v>
      </c>
      <c r="H98" s="1592">
        <f>G98-F98</f>
        <v>35886.521544667383</v>
      </c>
    </row>
  </sheetData>
  <sheetProtection password="A5F1" sheet="1" objects="1" scenarios="1"/>
  <mergeCells count="9">
    <mergeCell ref="C92:E92"/>
    <mergeCell ref="L5:P5"/>
    <mergeCell ref="M27:O27"/>
    <mergeCell ref="M40:O40"/>
    <mergeCell ref="L16:P16"/>
    <mergeCell ref="C67:E67"/>
    <mergeCell ref="C54:E54"/>
    <mergeCell ref="C41:E41"/>
    <mergeCell ref="C81:E81"/>
  </mergeCells>
  <phoneticPr fontId="0" type="noConversion"/>
  <pageMargins left="0.25" right="0.25" top="0.75" bottom="0.75" header="0.3" footer="0.3"/>
  <pageSetup scale="89" orientation="landscape" horizontalDpi="1200" verticalDpi="1200"/>
  <headerFooter alignWithMargins="0"/>
  <colBreaks count="1" manualBreakCount="1">
    <brk id="8" max="78" man="1"/>
  </colBreaks>
</worksheet>
</file>

<file path=xl/worksheets/sheet21.xml><?xml version="1.0" encoding="utf-8"?>
<worksheet xmlns="http://schemas.openxmlformats.org/spreadsheetml/2006/main" xmlns:r="http://schemas.openxmlformats.org/officeDocument/2006/relationships">
  <sheetPr codeName="Sheet9" enableFormatConditionsCalculation="0">
    <tabColor theme="3" tint="0.39997558519241921"/>
  </sheetPr>
  <dimension ref="A1:P52"/>
  <sheetViews>
    <sheetView zoomScaleNormal="100" workbookViewId="0">
      <selection activeCell="G57" sqref="G57"/>
    </sheetView>
  </sheetViews>
  <sheetFormatPr defaultColWidth="8.85546875" defaultRowHeight="12.75"/>
  <cols>
    <col min="1" max="1" width="3.7109375" customWidth="1"/>
    <col min="2" max="5" width="9.7109375" customWidth="1"/>
    <col min="6" max="6" width="10.7109375" customWidth="1"/>
    <col min="7" max="8" width="9.7109375" customWidth="1"/>
    <col min="9" max="9" width="12.7109375" customWidth="1"/>
    <col min="10" max="10" width="14.7109375" customWidth="1"/>
    <col min="11" max="11" width="13.7109375" customWidth="1"/>
    <col min="12" max="12" width="14.7109375" customWidth="1"/>
    <col min="13" max="13" width="15" customWidth="1"/>
    <col min="15" max="15" width="18.7109375" customWidth="1"/>
  </cols>
  <sheetData>
    <row r="1" spans="1:15">
      <c r="A1" s="4" t="s">
        <v>266</v>
      </c>
      <c r="L1" s="6"/>
    </row>
    <row r="2" spans="1:15">
      <c r="A2" s="4"/>
      <c r="L2" s="6"/>
    </row>
    <row r="3" spans="1:15">
      <c r="A3" s="4" t="s">
        <v>264</v>
      </c>
      <c r="L3" s="6"/>
    </row>
    <row r="4" spans="1:15">
      <c r="B4" s="4" t="s">
        <v>306</v>
      </c>
      <c r="C4" s="4"/>
      <c r="D4" s="4"/>
      <c r="E4" s="4"/>
      <c r="F4" s="4" t="s">
        <v>354</v>
      </c>
      <c r="H4" s="61">
        <f>SensitivityAnalysis!H23</f>
        <v>14</v>
      </c>
      <c r="I4" s="61"/>
      <c r="J4" s="6"/>
    </row>
    <row r="5" spans="1:15">
      <c r="B5" s="4"/>
      <c r="C5" s="4"/>
      <c r="D5" s="4"/>
      <c r="E5" s="4"/>
      <c r="F5" s="4" t="s">
        <v>626</v>
      </c>
      <c r="G5" s="61"/>
      <c r="H5" s="89">
        <f>H4/12</f>
        <v>1.1666666666666667</v>
      </c>
      <c r="I5" s="89"/>
      <c r="J5" s="302" t="s">
        <v>278</v>
      </c>
    </row>
    <row r="6" spans="1:15">
      <c r="B6" s="4"/>
      <c r="C6" s="4"/>
      <c r="D6" s="4"/>
      <c r="E6" s="4"/>
      <c r="F6" s="4" t="s">
        <v>355</v>
      </c>
      <c r="G6" s="61"/>
      <c r="H6" s="111">
        <f>H5*2.666667</f>
        <v>3.1111115000000003</v>
      </c>
      <c r="I6" s="111"/>
      <c r="J6" s="303">
        <f>H4/4.5</f>
        <v>3.1111111111111112</v>
      </c>
    </row>
    <row r="7" spans="1:15">
      <c r="B7" s="4" t="s">
        <v>307</v>
      </c>
      <c r="C7" s="4"/>
      <c r="D7" s="4"/>
      <c r="E7" s="4"/>
      <c r="F7" s="4" t="s">
        <v>355</v>
      </c>
      <c r="H7" s="61">
        <f>SensitivityAnalysis!H26</f>
        <v>0</v>
      </c>
      <c r="I7" s="61"/>
      <c r="L7" s="6"/>
    </row>
    <row r="8" spans="1:15">
      <c r="B8" s="4" t="s">
        <v>265</v>
      </c>
      <c r="C8" s="4"/>
      <c r="D8" s="4"/>
      <c r="E8" s="4"/>
      <c r="L8" s="6"/>
    </row>
    <row r="9" spans="1:15">
      <c r="B9" s="4" t="s">
        <v>416</v>
      </c>
      <c r="C9" s="4"/>
      <c r="D9" s="4"/>
      <c r="E9" s="4"/>
      <c r="F9" s="62">
        <f>Yields!G5</f>
        <v>0.8</v>
      </c>
      <c r="L9" s="6"/>
    </row>
    <row r="10" spans="1:15">
      <c r="B10" s="4" t="s">
        <v>364</v>
      </c>
      <c r="C10" s="4"/>
      <c r="D10" s="4"/>
      <c r="E10" s="4"/>
      <c r="F10" s="62">
        <f>1-F9</f>
        <v>0.19999999999999996</v>
      </c>
      <c r="L10" s="6"/>
    </row>
    <row r="11" spans="1:15">
      <c r="B11" s="4"/>
      <c r="C11" s="4"/>
      <c r="D11" s="4"/>
      <c r="E11" s="4"/>
      <c r="F11" s="62"/>
      <c r="L11" s="6"/>
    </row>
    <row r="12" spans="1:15" ht="13.5" thickBot="1">
      <c r="B12" s="4" t="s">
        <v>359</v>
      </c>
      <c r="L12" s="6"/>
    </row>
    <row r="13" spans="1:15" ht="39" thickTop="1">
      <c r="A13" s="19" t="s">
        <v>283</v>
      </c>
      <c r="B13" s="23" t="s">
        <v>357</v>
      </c>
      <c r="C13" s="1683" t="s">
        <v>358</v>
      </c>
      <c r="D13" s="1683"/>
      <c r="E13" s="103" t="s">
        <v>336</v>
      </c>
      <c r="F13" s="1669" t="s">
        <v>149</v>
      </c>
      <c r="G13" s="1670"/>
      <c r="H13" s="1671"/>
      <c r="I13" s="86" t="s">
        <v>418</v>
      </c>
      <c r="J13" s="21" t="s">
        <v>150</v>
      </c>
      <c r="K13" s="22" t="s">
        <v>151</v>
      </c>
      <c r="L13" s="23" t="s">
        <v>152</v>
      </c>
      <c r="M13" s="1684" t="s">
        <v>153</v>
      </c>
      <c r="N13" s="24" t="s">
        <v>247</v>
      </c>
      <c r="O13" s="1681" t="s">
        <v>154</v>
      </c>
    </row>
    <row r="14" spans="1:15" ht="13.5" thickBot="1">
      <c r="A14" s="25"/>
      <c r="B14" s="26" t="s">
        <v>353</v>
      </c>
      <c r="C14" s="78" t="s">
        <v>353</v>
      </c>
      <c r="D14" s="78" t="s">
        <v>356</v>
      </c>
      <c r="E14" s="83" t="s">
        <v>353</v>
      </c>
      <c r="F14" s="27" t="s">
        <v>244</v>
      </c>
      <c r="G14" s="28" t="s">
        <v>145</v>
      </c>
      <c r="H14" s="29" t="s">
        <v>146</v>
      </c>
      <c r="I14" s="26" t="s">
        <v>417</v>
      </c>
      <c r="J14" s="30"/>
      <c r="K14" s="31"/>
      <c r="L14" s="32"/>
      <c r="M14" s="1685"/>
      <c r="N14" s="33"/>
      <c r="O14" s="1682"/>
    </row>
    <row r="15" spans="1:15" ht="12.95" customHeight="1">
      <c r="A15" s="34">
        <v>0</v>
      </c>
      <c r="B15" s="35">
        <v>0</v>
      </c>
      <c r="C15" s="81">
        <v>0</v>
      </c>
      <c r="D15" s="81">
        <v>0</v>
      </c>
      <c r="E15" s="81">
        <v>0</v>
      </c>
      <c r="F15" s="36">
        <f>SummaryCosts!B20</f>
        <v>313.31617452237992</v>
      </c>
      <c r="G15" s="36">
        <f>SummaryCosts!C20</f>
        <v>6232.03</v>
      </c>
      <c r="H15" s="36">
        <f>SummaryCosts!D20</f>
        <v>1978.4449845846154</v>
      </c>
      <c r="I15" s="36">
        <v>0</v>
      </c>
      <c r="J15" s="68">
        <f t="shared" ref="J15:J25" si="0">SUM(F15:I15)</f>
        <v>8523.7911591069951</v>
      </c>
      <c r="K15" s="69">
        <f>(($B15*F9)*H6)+((B15*F10)*H7)</f>
        <v>0</v>
      </c>
      <c r="L15" s="65">
        <f>K15-J15</f>
        <v>-8523.7911591069951</v>
      </c>
      <c r="M15" s="51">
        <f>L15</f>
        <v>-8523.7911591069951</v>
      </c>
      <c r="N15" s="54">
        <v>1</v>
      </c>
      <c r="O15" s="38">
        <f>L15*N15</f>
        <v>-8523.7911591069951</v>
      </c>
    </row>
    <row r="16" spans="1:15" ht="12.95" customHeight="1">
      <c r="A16" s="39">
        <v>1</v>
      </c>
      <c r="B16" s="40">
        <v>0</v>
      </c>
      <c r="C16" s="75">
        <v>0</v>
      </c>
      <c r="D16" s="75">
        <v>0</v>
      </c>
      <c r="E16" s="75">
        <v>0</v>
      </c>
      <c r="F16" s="41">
        <f>SummaryCosts!B36</f>
        <v>1810.6275604993464</v>
      </c>
      <c r="G16" s="41">
        <f>SummaryCosts!C36</f>
        <v>2320.9899999999998</v>
      </c>
      <c r="H16" s="41">
        <f>SummaryCosts!D36</f>
        <v>4256.4539392000006</v>
      </c>
      <c r="I16" s="41">
        <f>(Machinery!C7+Machinery!C8+Machinery!C13+Machinery!C17+Machinery!C18+Machinery!C19)/10</f>
        <v>4567.5</v>
      </c>
      <c r="J16" s="70">
        <f t="shared" si="0"/>
        <v>12955.571499699347</v>
      </c>
      <c r="K16" s="69">
        <f>(($B16*F9)*H4)+((B16*F10)*H7)</f>
        <v>0</v>
      </c>
      <c r="L16" s="66">
        <f t="shared" ref="L16:L25" si="1">K16-J16</f>
        <v>-12955.571499699347</v>
      </c>
      <c r="M16" s="51">
        <f t="shared" ref="M16:M25" si="2">L16+M15</f>
        <v>-21479.362658806342</v>
      </c>
      <c r="N16" s="54">
        <v>0.94340000000000002</v>
      </c>
      <c r="O16" s="38">
        <f>L16*N16</f>
        <v>-12222.286152816363</v>
      </c>
    </row>
    <row r="17" spans="1:16">
      <c r="A17" s="39">
        <v>2</v>
      </c>
      <c r="B17" s="84">
        <f>Yields!F12</f>
        <v>16500</v>
      </c>
      <c r="C17" s="85">
        <f>B17*F9</f>
        <v>13200</v>
      </c>
      <c r="D17" s="85">
        <f>C17*0.1666667</f>
        <v>2200.0004399999998</v>
      </c>
      <c r="E17" s="85">
        <f>B17*F10</f>
        <v>3299.9999999999991</v>
      </c>
      <c r="F17" s="41">
        <f>SummaryCosts!B52</f>
        <v>3446.1434631529246</v>
      </c>
      <c r="G17" s="41">
        <f>SummaryCosts!C52</f>
        <v>10440.39231461989</v>
      </c>
      <c r="H17" s="41">
        <f>SummaryCosts!D52</f>
        <v>13503.328886009365</v>
      </c>
      <c r="I17" s="41">
        <f>(Machinery!C15+Machinery!C16+Machinery!C24)/10</f>
        <v>10200</v>
      </c>
      <c r="J17" s="70">
        <f t="shared" si="0"/>
        <v>37589.86466378218</v>
      </c>
      <c r="K17" s="69">
        <f>(($B17*F9)*H6)+((B17*F10)*H7)</f>
        <v>41066.671800000004</v>
      </c>
      <c r="L17" s="66">
        <f t="shared" si="1"/>
        <v>3476.8071362178234</v>
      </c>
      <c r="M17" s="51">
        <f t="shared" si="2"/>
        <v>-18002.555522588518</v>
      </c>
      <c r="N17" s="54">
        <v>0.89</v>
      </c>
      <c r="O17" s="38">
        <f>L17*N17</f>
        <v>3094.3583512338628</v>
      </c>
      <c r="P17" s="11"/>
    </row>
    <row r="18" spans="1:16">
      <c r="A18" s="39">
        <v>3</v>
      </c>
      <c r="B18" s="84">
        <f>Yields!F16</f>
        <v>19000</v>
      </c>
      <c r="C18" s="85">
        <f>B18*F9</f>
        <v>15200</v>
      </c>
      <c r="D18" s="85">
        <f>C18*0.1666667</f>
        <v>2533.3338400000002</v>
      </c>
      <c r="E18" s="85">
        <f>B18*F10</f>
        <v>3799.9999999999991</v>
      </c>
      <c r="F18" s="41">
        <f>SummaryCosts!B68</f>
        <v>3497.2526923804312</v>
      </c>
      <c r="G18" s="41">
        <f>SummaryCosts!C68</f>
        <v>11520.425647953223</v>
      </c>
      <c r="H18" s="41">
        <f>SummaryCosts!D68</f>
        <v>14413.354917558974</v>
      </c>
      <c r="I18" s="41">
        <v>0</v>
      </c>
      <c r="J18" s="70">
        <f t="shared" si="0"/>
        <v>29431.033257892628</v>
      </c>
      <c r="K18" s="69">
        <f>(($B18*F9)*H6)+((B18*F10)*H7)</f>
        <v>47288.894800000002</v>
      </c>
      <c r="L18" s="42">
        <f>K18-J18</f>
        <v>17857.861542107374</v>
      </c>
      <c r="M18" s="51">
        <f t="shared" si="2"/>
        <v>-144.69398048114454</v>
      </c>
      <c r="N18" s="54">
        <v>0.83960000000000001</v>
      </c>
      <c r="O18" s="38">
        <f t="shared" ref="O18:O25" si="3">L18*N18</f>
        <v>14993.460550753351</v>
      </c>
    </row>
    <row r="19" spans="1:16">
      <c r="A19" s="39">
        <v>4</v>
      </c>
      <c r="B19" s="84">
        <f>Yields!F16</f>
        <v>19000</v>
      </c>
      <c r="C19" s="85">
        <f>B19*F9</f>
        <v>15200</v>
      </c>
      <c r="D19" s="85">
        <f>C19*0.1666667</f>
        <v>2533.3338400000002</v>
      </c>
      <c r="E19" s="85">
        <f>B19*F10</f>
        <v>3799.9999999999991</v>
      </c>
      <c r="F19" s="41">
        <f>SummaryCosts!B69</f>
        <v>3497.2526923804312</v>
      </c>
      <c r="G19" s="41">
        <f>SummaryCosts!C69</f>
        <v>11520.425647953223</v>
      </c>
      <c r="H19" s="41">
        <f>SummaryCosts!D69</f>
        <v>14413.354917558974</v>
      </c>
      <c r="I19" s="41">
        <v>0</v>
      </c>
      <c r="J19" s="70">
        <f t="shared" si="0"/>
        <v>29431.033257892628</v>
      </c>
      <c r="K19" s="69">
        <f>(($B19*F9)*H6)+((B19*F10)*H7)</f>
        <v>47288.894800000002</v>
      </c>
      <c r="L19" s="42">
        <f t="shared" si="1"/>
        <v>17857.861542107374</v>
      </c>
      <c r="M19" s="51">
        <f t="shared" si="2"/>
        <v>17713.167561626229</v>
      </c>
      <c r="N19" s="54">
        <v>0.79210000000000003</v>
      </c>
      <c r="O19" s="38">
        <f t="shared" si="3"/>
        <v>14145.212127503251</v>
      </c>
    </row>
    <row r="20" spans="1:16">
      <c r="A20" s="39">
        <v>5</v>
      </c>
      <c r="B20" s="84">
        <f>Yields!F16</f>
        <v>19000</v>
      </c>
      <c r="C20" s="85">
        <f>B20*F9</f>
        <v>15200</v>
      </c>
      <c r="D20" s="85">
        <f>C20*0.166667</f>
        <v>2533.3384000000001</v>
      </c>
      <c r="E20" s="85">
        <f>B20*F10</f>
        <v>3799.9999999999991</v>
      </c>
      <c r="F20" s="41">
        <f>SummaryCosts!B70</f>
        <v>3497.2526923804312</v>
      </c>
      <c r="G20" s="41">
        <f>SummaryCosts!C70</f>
        <v>11520.425647953223</v>
      </c>
      <c r="H20" s="41">
        <f>SummaryCosts!D70</f>
        <v>14413.354917558974</v>
      </c>
      <c r="I20" s="41">
        <v>0</v>
      </c>
      <c r="J20" s="70">
        <f t="shared" si="0"/>
        <v>29431.033257892628</v>
      </c>
      <c r="K20" s="69">
        <f>(($B20*F9)*H6)+((B20*F10)*H7)</f>
        <v>47288.894800000002</v>
      </c>
      <c r="L20" s="42">
        <f t="shared" si="1"/>
        <v>17857.861542107374</v>
      </c>
      <c r="M20" s="51">
        <f t="shared" si="2"/>
        <v>35571.029103733599</v>
      </c>
      <c r="N20" s="54">
        <v>0.74729999999999996</v>
      </c>
      <c r="O20" s="38">
        <f t="shared" si="3"/>
        <v>13345.17993041684</v>
      </c>
    </row>
    <row r="21" spans="1:16">
      <c r="A21" s="43">
        <v>6</v>
      </c>
      <c r="B21" s="84">
        <f>Yields!F16</f>
        <v>19000</v>
      </c>
      <c r="C21" s="85">
        <f>B21*F9</f>
        <v>15200</v>
      </c>
      <c r="D21" s="85">
        <f>C21*0.1666667</f>
        <v>2533.3338400000002</v>
      </c>
      <c r="E21" s="85">
        <f>B21*F10</f>
        <v>3799.9999999999991</v>
      </c>
      <c r="F21" s="44">
        <f>SummaryCosts!B71</f>
        <v>3497.2526923804312</v>
      </c>
      <c r="G21" s="41">
        <f>SummaryCosts!C71</f>
        <v>11520.425647953223</v>
      </c>
      <c r="H21" s="44">
        <f>SummaryCosts!D71</f>
        <v>14413.354917558974</v>
      </c>
      <c r="I21" s="44">
        <v>0</v>
      </c>
      <c r="J21" s="71">
        <f t="shared" si="0"/>
        <v>29431.033257892628</v>
      </c>
      <c r="K21" s="69">
        <f>(($B21*F9)*H6)+((B21*F10)*H7)</f>
        <v>47288.894800000002</v>
      </c>
      <c r="L21" s="45">
        <f t="shared" si="1"/>
        <v>17857.861542107374</v>
      </c>
      <c r="M21" s="52">
        <f t="shared" si="2"/>
        <v>53428.890645840977</v>
      </c>
      <c r="N21" s="55">
        <v>0.70499999999999996</v>
      </c>
      <c r="O21" s="46">
        <f t="shared" si="3"/>
        <v>12589.792387185698</v>
      </c>
    </row>
    <row r="22" spans="1:16">
      <c r="A22" s="39">
        <v>7</v>
      </c>
      <c r="B22" s="84">
        <f>Yields!F16</f>
        <v>19000</v>
      </c>
      <c r="C22" s="85">
        <f>B22*F9</f>
        <v>15200</v>
      </c>
      <c r="D22" s="85">
        <f>C22*0.1666667</f>
        <v>2533.3338400000002</v>
      </c>
      <c r="E22" s="85">
        <f>B22*F10</f>
        <v>3799.9999999999991</v>
      </c>
      <c r="F22" s="41">
        <f>SummaryCosts!B72</f>
        <v>3497.2526923804312</v>
      </c>
      <c r="G22" s="41">
        <f>SummaryCosts!C72</f>
        <v>11520.425647953223</v>
      </c>
      <c r="H22" s="41">
        <f>SummaryCosts!D72</f>
        <v>14413.354917558974</v>
      </c>
      <c r="I22" s="41">
        <v>0</v>
      </c>
      <c r="J22" s="70">
        <f t="shared" si="0"/>
        <v>29431.033257892628</v>
      </c>
      <c r="K22" s="69">
        <f>(($B22*F9)*H6)+((B22*F10)*H7)</f>
        <v>47288.894800000002</v>
      </c>
      <c r="L22" s="42">
        <f t="shared" si="1"/>
        <v>17857.861542107374</v>
      </c>
      <c r="M22" s="51">
        <f t="shared" si="2"/>
        <v>71286.752187948354</v>
      </c>
      <c r="N22" s="54">
        <v>0.66510000000000002</v>
      </c>
      <c r="O22" s="38">
        <f t="shared" si="3"/>
        <v>11877.263711655614</v>
      </c>
    </row>
    <row r="23" spans="1:16">
      <c r="A23" s="39">
        <v>8</v>
      </c>
      <c r="B23" s="84">
        <f>Yields!F16</f>
        <v>19000</v>
      </c>
      <c r="C23" s="85">
        <f>B23*F9</f>
        <v>15200</v>
      </c>
      <c r="D23" s="85">
        <f>C23*0.16666667</f>
        <v>2533.333384</v>
      </c>
      <c r="E23" s="85">
        <f>B23*F10</f>
        <v>3799.9999999999991</v>
      </c>
      <c r="F23" s="41">
        <f>SummaryCosts!B73</f>
        <v>3497.2526923804312</v>
      </c>
      <c r="G23" s="41">
        <f>SummaryCosts!C73</f>
        <v>11520.425647953223</v>
      </c>
      <c r="H23" s="41">
        <f>SummaryCosts!D73</f>
        <v>14413.354917558974</v>
      </c>
      <c r="I23" s="41">
        <v>0</v>
      </c>
      <c r="J23" s="70">
        <f t="shared" si="0"/>
        <v>29431.033257892628</v>
      </c>
      <c r="K23" s="69">
        <f>(($B23*F9)*H6)+((B23*F10)*H7)</f>
        <v>47288.894800000002</v>
      </c>
      <c r="L23" s="42">
        <f t="shared" si="1"/>
        <v>17857.861542107374</v>
      </c>
      <c r="M23" s="51">
        <f t="shared" si="2"/>
        <v>89144.613730055731</v>
      </c>
      <c r="N23" s="54">
        <v>0.62739999999999996</v>
      </c>
      <c r="O23" s="38">
        <f t="shared" si="3"/>
        <v>11204.022331518165</v>
      </c>
    </row>
    <row r="24" spans="1:16">
      <c r="A24" s="39">
        <v>9</v>
      </c>
      <c r="B24" s="84">
        <f>Yields!F16</f>
        <v>19000</v>
      </c>
      <c r="C24" s="85">
        <f>B24*F9</f>
        <v>15200</v>
      </c>
      <c r="D24" s="85">
        <f>C24*0.1666667</f>
        <v>2533.3338400000002</v>
      </c>
      <c r="E24" s="85">
        <f>B24*F10</f>
        <v>3799.9999999999991</v>
      </c>
      <c r="F24" s="41">
        <f>SummaryCosts!B74</f>
        <v>3497.2526923804312</v>
      </c>
      <c r="G24" s="41">
        <f>SummaryCosts!C74</f>
        <v>11520.425647953223</v>
      </c>
      <c r="H24" s="41">
        <f>SummaryCosts!D74</f>
        <v>14413.354917558974</v>
      </c>
      <c r="I24" s="41">
        <v>0</v>
      </c>
      <c r="J24" s="70">
        <f t="shared" si="0"/>
        <v>29431.033257892628</v>
      </c>
      <c r="K24" s="69">
        <f>(($B24*F9)*H6)+((B24*F10)*H7)</f>
        <v>47288.894800000002</v>
      </c>
      <c r="L24" s="42">
        <f t="shared" si="1"/>
        <v>17857.861542107374</v>
      </c>
      <c r="M24" s="51">
        <f t="shared" si="2"/>
        <v>107002.47527216311</v>
      </c>
      <c r="N24" s="54">
        <v>0.59189999999999998</v>
      </c>
      <c r="O24" s="38">
        <f t="shared" si="3"/>
        <v>10570.068246773355</v>
      </c>
    </row>
    <row r="25" spans="1:16" ht="13.5" thickBot="1">
      <c r="A25" s="39">
        <v>10</v>
      </c>
      <c r="B25" s="84">
        <f>Yields!F16</f>
        <v>19000</v>
      </c>
      <c r="C25" s="85">
        <f>B25*F9</f>
        <v>15200</v>
      </c>
      <c r="D25" s="85">
        <f>C25*0.1666667</f>
        <v>2533.3338400000002</v>
      </c>
      <c r="E25" s="85">
        <f>B25*F10</f>
        <v>3799.9999999999991</v>
      </c>
      <c r="F25" s="41">
        <f>SummaryCosts!B75</f>
        <v>3497.2526923804312</v>
      </c>
      <c r="G25" s="41">
        <f>SummaryCosts!C75</f>
        <v>11520.425647953223</v>
      </c>
      <c r="H25" s="41">
        <f>SummaryCosts!D75</f>
        <v>14413.354917558974</v>
      </c>
      <c r="I25" s="41">
        <v>0</v>
      </c>
      <c r="J25" s="70">
        <f t="shared" si="0"/>
        <v>29431.033257892628</v>
      </c>
      <c r="K25" s="69">
        <f>(($B25*F9)*H6)+((B25*F10)*H7)</f>
        <v>47288.894800000002</v>
      </c>
      <c r="L25" s="42">
        <f t="shared" si="1"/>
        <v>17857.861542107374</v>
      </c>
      <c r="M25" s="37">
        <f t="shared" si="2"/>
        <v>124860.33681427049</v>
      </c>
      <c r="N25" s="54">
        <v>0.55840000000000001</v>
      </c>
      <c r="O25" s="38">
        <f t="shared" si="3"/>
        <v>9971.8298851127583</v>
      </c>
    </row>
    <row r="26" spans="1:16" ht="14.25" thickTop="1" thickBot="1">
      <c r="B26" s="47" t="s">
        <v>147</v>
      </c>
      <c r="C26" s="48"/>
      <c r="D26" s="48"/>
      <c r="E26" s="48"/>
      <c r="F26" s="53">
        <f t="shared" ref="F26:L26" si="4">SUM(F15:F25)</f>
        <v>33548.108737218106</v>
      </c>
      <c r="G26" s="53">
        <f>SUM(G15:G25)</f>
        <v>111156.81749824565</v>
      </c>
      <c r="H26" s="53">
        <f t="shared" si="4"/>
        <v>135045.06715026576</v>
      </c>
      <c r="I26" s="53">
        <f t="shared" si="4"/>
        <v>14767.5</v>
      </c>
      <c r="J26" s="72">
        <f t="shared" si="4"/>
        <v>294517.49338572955</v>
      </c>
      <c r="K26" s="72">
        <f>SUM(K15:K25)</f>
        <v>419377.83020000003</v>
      </c>
      <c r="L26" s="49">
        <f t="shared" si="4"/>
        <v>124860.33681427049</v>
      </c>
      <c r="M26" s="48" t="s">
        <v>7</v>
      </c>
      <c r="N26" s="48"/>
      <c r="O26" s="115">
        <f>SUM(O15:O25)</f>
        <v>81045.110210229541</v>
      </c>
    </row>
    <row r="27" spans="1:16" ht="13.5" thickTop="1">
      <c r="B27" s="112"/>
      <c r="C27" s="112"/>
      <c r="D27" s="112"/>
      <c r="E27" s="112"/>
      <c r="F27" s="76"/>
      <c r="G27" s="76"/>
      <c r="H27" s="76"/>
      <c r="I27" s="76"/>
      <c r="J27" s="64"/>
      <c r="K27" s="64"/>
      <c r="L27" s="113"/>
      <c r="M27" s="112"/>
      <c r="N27" s="112"/>
      <c r="O27" s="113"/>
    </row>
    <row r="28" spans="1:16">
      <c r="B28" s="114" t="s">
        <v>420</v>
      </c>
      <c r="C28" s="112"/>
      <c r="D28" s="112"/>
      <c r="E28" s="112"/>
      <c r="F28" s="76"/>
      <c r="G28" s="76"/>
      <c r="H28" s="76"/>
      <c r="I28" s="76"/>
      <c r="J28" s="64"/>
      <c r="K28" s="64"/>
      <c r="L28" s="113"/>
      <c r="M28" s="112"/>
      <c r="N28" s="112"/>
      <c r="O28" s="113"/>
    </row>
    <row r="29" spans="1:16">
      <c r="C29" s="114" t="s">
        <v>421</v>
      </c>
      <c r="D29" s="112"/>
      <c r="E29" s="112"/>
      <c r="F29" s="76"/>
      <c r="G29" s="76"/>
      <c r="H29" s="76"/>
      <c r="I29" s="76"/>
      <c r="J29" s="64"/>
      <c r="K29" s="64"/>
      <c r="L29" s="113"/>
      <c r="M29" s="112"/>
      <c r="N29" s="112"/>
      <c r="O29" s="113"/>
    </row>
    <row r="30" spans="1:16">
      <c r="B30" s="114" t="s">
        <v>422</v>
      </c>
    </row>
    <row r="33" spans="1:15">
      <c r="B33" s="4" t="s">
        <v>278</v>
      </c>
      <c r="C33" s="4"/>
      <c r="D33" s="4"/>
    </row>
    <row r="34" spans="1:15" ht="13.5" thickBot="1">
      <c r="B34" s="4" t="s">
        <v>360</v>
      </c>
      <c r="C34" s="4"/>
      <c r="D34" s="4"/>
      <c r="N34" t="s">
        <v>284</v>
      </c>
      <c r="O34" s="73">
        <f>NPV(6%,L15:L25)</f>
        <v>76455.906286308003</v>
      </c>
    </row>
    <row r="35" spans="1:15" ht="39" thickTop="1">
      <c r="A35" s="19" t="s">
        <v>283</v>
      </c>
      <c r="B35" s="23" t="s">
        <v>357</v>
      </c>
      <c r="C35" s="1683" t="s">
        <v>358</v>
      </c>
      <c r="D35" s="1683"/>
      <c r="E35" s="82" t="s">
        <v>336</v>
      </c>
      <c r="F35" s="1669" t="s">
        <v>149</v>
      </c>
      <c r="G35" s="1670"/>
      <c r="H35" s="1671"/>
      <c r="I35" s="86" t="s">
        <v>418</v>
      </c>
      <c r="J35" s="21" t="s">
        <v>150</v>
      </c>
      <c r="K35" s="22" t="s">
        <v>151</v>
      </c>
      <c r="L35" s="23" t="s">
        <v>152</v>
      </c>
      <c r="M35" s="1684" t="s">
        <v>153</v>
      </c>
      <c r="N35" s="24" t="s">
        <v>247</v>
      </c>
      <c r="O35" s="1681" t="s">
        <v>154</v>
      </c>
    </row>
    <row r="36" spans="1:15" ht="13.5" thickBot="1">
      <c r="A36" s="25"/>
      <c r="B36" s="26" t="s">
        <v>353</v>
      </c>
      <c r="C36" s="78" t="s">
        <v>353</v>
      </c>
      <c r="D36" s="78" t="s">
        <v>356</v>
      </c>
      <c r="E36" s="83" t="s">
        <v>353</v>
      </c>
      <c r="F36" s="27" t="s">
        <v>244</v>
      </c>
      <c r="G36" s="28" t="s">
        <v>145</v>
      </c>
      <c r="H36" s="29" t="s">
        <v>146</v>
      </c>
      <c r="I36" s="26" t="s">
        <v>417</v>
      </c>
      <c r="J36" s="30"/>
      <c r="K36" s="31"/>
      <c r="L36" s="32"/>
      <c r="M36" s="1685"/>
      <c r="N36" s="33"/>
      <c r="O36" s="1682"/>
    </row>
    <row r="37" spans="1:15">
      <c r="A37" s="34">
        <v>0</v>
      </c>
      <c r="B37" s="35">
        <v>0</v>
      </c>
      <c r="C37" s="81">
        <v>0</v>
      </c>
      <c r="D37" s="81">
        <v>0</v>
      </c>
      <c r="E37" s="81">
        <v>0</v>
      </c>
      <c r="F37" s="36">
        <f>SummaryCosts!B20</f>
        <v>313.31617452237992</v>
      </c>
      <c r="G37" s="36">
        <f>SummaryCosts!C20</f>
        <v>6232.03</v>
      </c>
      <c r="H37" s="36">
        <f>SummaryCosts!D20</f>
        <v>1978.4449845846154</v>
      </c>
      <c r="I37" s="36">
        <v>0</v>
      </c>
      <c r="J37" s="68">
        <f t="shared" ref="J37:J47" si="5">SUM(F37:I37)</f>
        <v>8523.7911591069951</v>
      </c>
      <c r="K37" s="69">
        <f>(($B37*F9)*H6)+((B37*F10)*H7)</f>
        <v>0</v>
      </c>
      <c r="L37" s="65">
        <f>K37-J37</f>
        <v>-8523.7911591069951</v>
      </c>
      <c r="M37" s="51">
        <f>L37</f>
        <v>-8523.7911591069951</v>
      </c>
      <c r="N37" s="54">
        <v>1</v>
      </c>
      <c r="O37" s="38">
        <f>L37*N37</f>
        <v>-8523.7911591069951</v>
      </c>
    </row>
    <row r="38" spans="1:15">
      <c r="A38" s="39">
        <v>1</v>
      </c>
      <c r="B38" s="40">
        <v>0</v>
      </c>
      <c r="C38" s="75">
        <v>0</v>
      </c>
      <c r="D38" s="75">
        <v>0</v>
      </c>
      <c r="E38" s="75">
        <v>0</v>
      </c>
      <c r="F38" s="41">
        <f>SummaryCosts!B36</f>
        <v>1810.6275604993464</v>
      </c>
      <c r="G38" s="41">
        <f>SummaryCosts!C36</f>
        <v>2320.9899999999998</v>
      </c>
      <c r="H38" s="41">
        <f>SummaryCosts!D36</f>
        <v>4256.4539392000006</v>
      </c>
      <c r="I38" s="41">
        <f>(Machinery!C7+Machinery!C8+Machinery!C13+Machinery!C17+Machinery!C18+Machinery!C19)/10</f>
        <v>4567.5</v>
      </c>
      <c r="J38" s="70">
        <f t="shared" si="5"/>
        <v>12955.571499699347</v>
      </c>
      <c r="K38" s="69">
        <f>(($B38*F9)*H6)+((B38*F10)*H7)</f>
        <v>0</v>
      </c>
      <c r="L38" s="66">
        <f>K38-J38</f>
        <v>-12955.571499699347</v>
      </c>
      <c r="M38" s="51">
        <f t="shared" ref="M38:M47" si="6">L38+M37</f>
        <v>-21479.362658806342</v>
      </c>
      <c r="N38" s="54">
        <v>0.94340000000000002</v>
      </c>
      <c r="O38" s="38">
        <f>L38*N38</f>
        <v>-12222.286152816363</v>
      </c>
    </row>
    <row r="39" spans="1:15">
      <c r="A39" s="39">
        <v>2</v>
      </c>
      <c r="B39" s="84">
        <f>Yields!F12</f>
        <v>16500</v>
      </c>
      <c r="C39" s="85">
        <f>B39*F9</f>
        <v>13200</v>
      </c>
      <c r="D39" s="85">
        <f>C39/4.5</f>
        <v>2933.3333333333335</v>
      </c>
      <c r="E39" s="85">
        <f>B39*F10</f>
        <v>3299.9999999999991</v>
      </c>
      <c r="F39" s="41">
        <f>SummaryCosts!B52</f>
        <v>3446.1434631529246</v>
      </c>
      <c r="G39" s="41">
        <f>SummaryCosts!C52</f>
        <v>10440.39231461989</v>
      </c>
      <c r="H39" s="41">
        <f>SummaryCosts!D52</f>
        <v>13503.328886009365</v>
      </c>
      <c r="I39" s="41">
        <f>(Machinery!C15+Machinery!C16+Machinery!C24)/10</f>
        <v>10200</v>
      </c>
      <c r="J39" s="70">
        <f t="shared" si="5"/>
        <v>37589.86466378218</v>
      </c>
      <c r="K39" s="69">
        <f>(($D39*H4)+((B39*F10)*H7))</f>
        <v>41066.666666666672</v>
      </c>
      <c r="L39" s="66">
        <f>K39-J39</f>
        <v>3476.8020028844912</v>
      </c>
      <c r="M39" s="51">
        <f t="shared" si="6"/>
        <v>-18002.56065592185</v>
      </c>
      <c r="N39" s="54">
        <v>0.89</v>
      </c>
      <c r="O39" s="38">
        <f>L39*N39</f>
        <v>3094.3537825671974</v>
      </c>
    </row>
    <row r="40" spans="1:15">
      <c r="A40" s="39">
        <v>3</v>
      </c>
      <c r="B40" s="84">
        <f>Yields!F16</f>
        <v>19000</v>
      </c>
      <c r="C40" s="85">
        <f>B40*F9</f>
        <v>15200</v>
      </c>
      <c r="D40" s="85">
        <f>C40/4.5</f>
        <v>3377.7777777777778</v>
      </c>
      <c r="E40" s="85">
        <f>B40*F10</f>
        <v>3799.9999999999991</v>
      </c>
      <c r="F40" s="41">
        <f>SummaryCosts!B68</f>
        <v>3497.2526923804312</v>
      </c>
      <c r="G40" s="41">
        <f>SummaryCosts!C68</f>
        <v>11520.425647953223</v>
      </c>
      <c r="H40" s="41">
        <f>SummaryCosts!D68</f>
        <v>14413.354917558974</v>
      </c>
      <c r="I40" s="41">
        <v>0</v>
      </c>
      <c r="J40" s="70">
        <f t="shared" si="5"/>
        <v>29431.033257892628</v>
      </c>
      <c r="K40" s="69">
        <f>(($D40*H4)+((B40*F10)*H7))</f>
        <v>47288.888888888891</v>
      </c>
      <c r="L40" s="42">
        <f>K40-J40</f>
        <v>17857.855630996262</v>
      </c>
      <c r="M40" s="51">
        <f t="shared" si="6"/>
        <v>-144.70502492558808</v>
      </c>
      <c r="N40" s="54">
        <v>0.83960000000000001</v>
      </c>
      <c r="O40" s="38">
        <f t="shared" ref="O40:O47" si="7">L40*N40</f>
        <v>14993.455587784461</v>
      </c>
    </row>
    <row r="41" spans="1:15">
      <c r="A41" s="39">
        <v>4</v>
      </c>
      <c r="B41" s="84">
        <f>Yields!F16</f>
        <v>19000</v>
      </c>
      <c r="C41" s="85">
        <f>B41*F9</f>
        <v>15200</v>
      </c>
      <c r="D41" s="85">
        <f t="shared" ref="D41:D47" si="8">C41/4.5</f>
        <v>3377.7777777777778</v>
      </c>
      <c r="E41" s="85">
        <f>B41*F10</f>
        <v>3799.9999999999991</v>
      </c>
      <c r="F41" s="41">
        <f>SummaryCosts!B69</f>
        <v>3497.2526923804312</v>
      </c>
      <c r="G41" s="41">
        <f>SummaryCosts!C69</f>
        <v>11520.425647953223</v>
      </c>
      <c r="H41" s="41">
        <f>SummaryCosts!D69</f>
        <v>14413.354917558974</v>
      </c>
      <c r="I41" s="41">
        <v>0</v>
      </c>
      <c r="J41" s="70">
        <f t="shared" si="5"/>
        <v>29431.033257892628</v>
      </c>
      <c r="K41" s="69">
        <f>(($D41*H4)+((B41*F10)*H7))</f>
        <v>47288.888888888891</v>
      </c>
      <c r="L41" s="42">
        <f t="shared" ref="L41:L47" si="9">K41-J41</f>
        <v>17857.855630996262</v>
      </c>
      <c r="M41" s="51">
        <f t="shared" si="6"/>
        <v>17713.150606070674</v>
      </c>
      <c r="N41" s="54">
        <v>0.79210000000000003</v>
      </c>
      <c r="O41" s="38">
        <f t="shared" si="7"/>
        <v>14145.20744531214</v>
      </c>
    </row>
    <row r="42" spans="1:15">
      <c r="A42" s="39">
        <v>5</v>
      </c>
      <c r="B42" s="84">
        <f>Yields!F16</f>
        <v>19000</v>
      </c>
      <c r="C42" s="85">
        <f>B42*F9</f>
        <v>15200</v>
      </c>
      <c r="D42" s="85">
        <f t="shared" si="8"/>
        <v>3377.7777777777778</v>
      </c>
      <c r="E42" s="85">
        <f>B42*F10</f>
        <v>3799.9999999999991</v>
      </c>
      <c r="F42" s="41">
        <f>SummaryCosts!B70</f>
        <v>3497.2526923804312</v>
      </c>
      <c r="G42" s="41">
        <f>SummaryCosts!C70</f>
        <v>11520.425647953223</v>
      </c>
      <c r="H42" s="41">
        <f>SummaryCosts!D70</f>
        <v>14413.354917558974</v>
      </c>
      <c r="I42" s="41">
        <v>0</v>
      </c>
      <c r="J42" s="70">
        <f t="shared" si="5"/>
        <v>29431.033257892628</v>
      </c>
      <c r="K42" s="69">
        <f>(($D42*H4)+((B42*F10)*H7))</f>
        <v>47288.888888888891</v>
      </c>
      <c r="L42" s="42">
        <f t="shared" si="9"/>
        <v>17857.855630996262</v>
      </c>
      <c r="M42" s="51">
        <f t="shared" si="6"/>
        <v>35571.006237066933</v>
      </c>
      <c r="N42" s="54">
        <v>0.74729999999999996</v>
      </c>
      <c r="O42" s="38">
        <f t="shared" si="7"/>
        <v>13345.175513043507</v>
      </c>
    </row>
    <row r="43" spans="1:15">
      <c r="A43" s="43">
        <v>6</v>
      </c>
      <c r="B43" s="84">
        <f>Yields!F16</f>
        <v>19000</v>
      </c>
      <c r="C43" s="85">
        <f>B43*F9</f>
        <v>15200</v>
      </c>
      <c r="D43" s="85">
        <f t="shared" si="8"/>
        <v>3377.7777777777778</v>
      </c>
      <c r="E43" s="85">
        <f>B43*F10</f>
        <v>3799.9999999999991</v>
      </c>
      <c r="F43" s="44">
        <f>SummaryCosts!B71</f>
        <v>3497.2526923804312</v>
      </c>
      <c r="G43" s="44">
        <f>SummaryCosts!C71</f>
        <v>11520.425647953223</v>
      </c>
      <c r="H43" s="44">
        <f>SummaryCosts!D71</f>
        <v>14413.354917558974</v>
      </c>
      <c r="I43" s="44">
        <v>0</v>
      </c>
      <c r="J43" s="71">
        <f t="shared" si="5"/>
        <v>29431.033257892628</v>
      </c>
      <c r="K43" s="69">
        <f>(($D43*H4)+((B43*F10)*H7))</f>
        <v>47288.888888888891</v>
      </c>
      <c r="L43" s="45">
        <f t="shared" si="9"/>
        <v>17857.855630996262</v>
      </c>
      <c r="M43" s="52">
        <f t="shared" si="6"/>
        <v>53428.861868063192</v>
      </c>
      <c r="N43" s="55">
        <v>0.70499999999999996</v>
      </c>
      <c r="O43" s="46">
        <f t="shared" si="7"/>
        <v>12589.788219852364</v>
      </c>
    </row>
    <row r="44" spans="1:15">
      <c r="A44" s="39">
        <v>7</v>
      </c>
      <c r="B44" s="84">
        <f>Yields!F16</f>
        <v>19000</v>
      </c>
      <c r="C44" s="85">
        <f>B44*F9</f>
        <v>15200</v>
      </c>
      <c r="D44" s="85">
        <f t="shared" si="8"/>
        <v>3377.7777777777778</v>
      </c>
      <c r="E44" s="85">
        <f>B44*F10</f>
        <v>3799.9999999999991</v>
      </c>
      <c r="F44" s="41">
        <f>SummaryCosts!B72</f>
        <v>3497.2526923804312</v>
      </c>
      <c r="G44" s="41">
        <f>SummaryCosts!C72</f>
        <v>11520.425647953223</v>
      </c>
      <c r="H44" s="41">
        <f>SummaryCosts!D72</f>
        <v>14413.354917558974</v>
      </c>
      <c r="I44" s="41">
        <v>0</v>
      </c>
      <c r="J44" s="70">
        <f t="shared" si="5"/>
        <v>29431.033257892628</v>
      </c>
      <c r="K44" s="69">
        <f>(($D44*H4)+((B44*F10)*H7))</f>
        <v>47288.888888888891</v>
      </c>
      <c r="L44" s="42">
        <f t="shared" si="9"/>
        <v>17857.855630996262</v>
      </c>
      <c r="M44" s="51">
        <f t="shared" si="6"/>
        <v>71286.71749905945</v>
      </c>
      <c r="N44" s="54">
        <v>0.66510000000000002</v>
      </c>
      <c r="O44" s="38">
        <f t="shared" si="7"/>
        <v>11877.259780175615</v>
      </c>
    </row>
    <row r="45" spans="1:15">
      <c r="A45" s="39">
        <v>8</v>
      </c>
      <c r="B45" s="84">
        <f>Yields!F16</f>
        <v>19000</v>
      </c>
      <c r="C45" s="85">
        <f>B45*F9</f>
        <v>15200</v>
      </c>
      <c r="D45" s="85">
        <f t="shared" si="8"/>
        <v>3377.7777777777778</v>
      </c>
      <c r="E45" s="85">
        <f>B45*F10</f>
        <v>3799.9999999999991</v>
      </c>
      <c r="F45" s="41">
        <f>SummaryCosts!B73</f>
        <v>3497.2526923804312</v>
      </c>
      <c r="G45" s="41">
        <f>SummaryCosts!C73</f>
        <v>11520.425647953223</v>
      </c>
      <c r="H45" s="41">
        <f>SummaryCosts!D73</f>
        <v>14413.354917558974</v>
      </c>
      <c r="I45" s="41">
        <v>0</v>
      </c>
      <c r="J45" s="70">
        <f t="shared" si="5"/>
        <v>29431.033257892628</v>
      </c>
      <c r="K45" s="69">
        <f>(($B45*F9)*H6)+((B45*F10)*H7)</f>
        <v>47288.894800000002</v>
      </c>
      <c r="L45" s="42">
        <f t="shared" si="9"/>
        <v>17857.861542107374</v>
      </c>
      <c r="M45" s="51">
        <f t="shared" si="6"/>
        <v>89144.579041166828</v>
      </c>
      <c r="N45" s="54">
        <v>0.62739999999999996</v>
      </c>
      <c r="O45" s="38">
        <f>L45*N45</f>
        <v>11204.022331518165</v>
      </c>
    </row>
    <row r="46" spans="1:15">
      <c r="A46" s="39">
        <v>9</v>
      </c>
      <c r="B46" s="84">
        <f>Yields!F16</f>
        <v>19000</v>
      </c>
      <c r="C46" s="85">
        <f>B46*F9</f>
        <v>15200</v>
      </c>
      <c r="D46" s="85">
        <f t="shared" si="8"/>
        <v>3377.7777777777778</v>
      </c>
      <c r="E46" s="85">
        <f>B46*F10</f>
        <v>3799.9999999999991</v>
      </c>
      <c r="F46" s="41">
        <f>SummaryCosts!B74</f>
        <v>3497.2526923804312</v>
      </c>
      <c r="G46" s="41">
        <f>SummaryCosts!C74</f>
        <v>11520.425647953223</v>
      </c>
      <c r="H46" s="41">
        <f>SummaryCosts!D74</f>
        <v>14413.354917558974</v>
      </c>
      <c r="I46" s="41">
        <v>0</v>
      </c>
      <c r="J46" s="70">
        <f t="shared" si="5"/>
        <v>29431.033257892628</v>
      </c>
      <c r="K46" s="69">
        <f>(($D46*H4)+((B46*F10)*H7))</f>
        <v>47288.888888888891</v>
      </c>
      <c r="L46" s="42">
        <f t="shared" si="9"/>
        <v>17857.855630996262</v>
      </c>
      <c r="M46" s="51">
        <f t="shared" si="6"/>
        <v>107002.43467216309</v>
      </c>
      <c r="N46" s="54">
        <v>0.59189999999999998</v>
      </c>
      <c r="O46" s="38">
        <f t="shared" si="7"/>
        <v>10570.064747986688</v>
      </c>
    </row>
    <row r="47" spans="1:15" ht="13.5" thickBot="1">
      <c r="A47" s="39">
        <v>10</v>
      </c>
      <c r="B47" s="84">
        <f>Yields!F16</f>
        <v>19000</v>
      </c>
      <c r="C47" s="85">
        <f>B47*F9</f>
        <v>15200</v>
      </c>
      <c r="D47" s="85">
        <f t="shared" si="8"/>
        <v>3377.7777777777778</v>
      </c>
      <c r="E47" s="85">
        <f>B47*F10</f>
        <v>3799.9999999999991</v>
      </c>
      <c r="F47" s="41">
        <f>SummaryCosts!B75</f>
        <v>3497.2526923804312</v>
      </c>
      <c r="G47" s="41">
        <f>SummaryCosts!C75</f>
        <v>11520.425647953223</v>
      </c>
      <c r="H47" s="41">
        <f>SummaryCosts!D75</f>
        <v>14413.354917558974</v>
      </c>
      <c r="I47" s="41">
        <v>0</v>
      </c>
      <c r="J47" s="70">
        <f t="shared" si="5"/>
        <v>29431.033257892628</v>
      </c>
      <c r="K47" s="69">
        <f>(($D47*H4)+((B47*F10)*H7))</f>
        <v>47288.888888888891</v>
      </c>
      <c r="L47" s="42">
        <f t="shared" si="9"/>
        <v>17857.855630996262</v>
      </c>
      <c r="M47" s="37">
        <f t="shared" si="6"/>
        <v>124860.29030315935</v>
      </c>
      <c r="N47" s="54">
        <v>0.55840000000000001</v>
      </c>
      <c r="O47" s="38">
        <f t="shared" si="7"/>
        <v>9971.8265843483132</v>
      </c>
    </row>
    <row r="48" spans="1:15" ht="14.25" thickTop="1" thickBot="1">
      <c r="B48" s="47" t="s">
        <v>147</v>
      </c>
      <c r="C48" s="48"/>
      <c r="D48" s="48"/>
      <c r="E48" s="48"/>
      <c r="F48" s="53">
        <f t="shared" ref="F48:L48" si="10">SUM(F37:F47)</f>
        <v>33548.108737218106</v>
      </c>
      <c r="G48" s="53">
        <f t="shared" si="10"/>
        <v>111156.81749824565</v>
      </c>
      <c r="H48" s="53">
        <f t="shared" si="10"/>
        <v>135045.06715026576</v>
      </c>
      <c r="I48" s="53">
        <f t="shared" si="10"/>
        <v>14767.5</v>
      </c>
      <c r="J48" s="72">
        <f t="shared" si="10"/>
        <v>294517.49338572955</v>
      </c>
      <c r="K48" s="72">
        <f t="shared" si="10"/>
        <v>419377.78368888883</v>
      </c>
      <c r="L48" s="49">
        <f t="shared" si="10"/>
        <v>124860.29030315935</v>
      </c>
      <c r="M48" s="48" t="s">
        <v>7</v>
      </c>
      <c r="N48" s="48"/>
      <c r="O48" s="115">
        <f>SUM(O37:O47)</f>
        <v>81045.076680665079</v>
      </c>
    </row>
    <row r="49" spans="2:15" ht="13.5" thickTop="1">
      <c r="B49" s="112"/>
      <c r="C49" s="112"/>
      <c r="D49" s="112"/>
      <c r="E49" s="112"/>
      <c r="F49" s="76"/>
      <c r="G49" s="76"/>
      <c r="H49" s="76"/>
      <c r="I49" s="76"/>
      <c r="J49" s="64"/>
      <c r="K49" s="64"/>
      <c r="L49" s="113"/>
      <c r="M49" s="112"/>
      <c r="N49" s="112"/>
      <c r="O49" s="113"/>
    </row>
    <row r="50" spans="2:15">
      <c r="B50" s="114" t="s">
        <v>420</v>
      </c>
      <c r="C50" s="112"/>
      <c r="D50" s="112"/>
      <c r="E50" s="112"/>
      <c r="F50" s="76"/>
      <c r="G50" s="76"/>
      <c r="H50" s="76"/>
      <c r="I50" s="76"/>
      <c r="J50" s="64"/>
      <c r="K50" s="64"/>
      <c r="L50" s="113"/>
      <c r="M50" s="112"/>
      <c r="N50" s="112"/>
      <c r="O50" s="113"/>
    </row>
    <row r="51" spans="2:15">
      <c r="C51" s="114" t="s">
        <v>421</v>
      </c>
      <c r="D51" s="112"/>
      <c r="E51" s="112"/>
      <c r="F51" s="76"/>
      <c r="G51" s="76"/>
      <c r="H51" s="76"/>
      <c r="I51" s="76"/>
      <c r="J51" s="64"/>
      <c r="K51" s="64"/>
      <c r="L51" s="113"/>
      <c r="M51" s="112"/>
      <c r="N51" s="112"/>
      <c r="O51" s="113"/>
    </row>
    <row r="52" spans="2:15">
      <c r="B52" s="114" t="s">
        <v>422</v>
      </c>
    </row>
  </sheetData>
  <sheetProtection password="A5F1" sheet="1" objects="1" scenarios="1"/>
  <mergeCells count="8">
    <mergeCell ref="O13:O14"/>
    <mergeCell ref="O35:O36"/>
    <mergeCell ref="C13:D13"/>
    <mergeCell ref="C35:D35"/>
    <mergeCell ref="F35:H35"/>
    <mergeCell ref="M35:M36"/>
    <mergeCell ref="F13:H13"/>
    <mergeCell ref="M13:M14"/>
  </mergeCells>
  <phoneticPr fontId="0" type="noConversion"/>
  <pageMargins left="1.39" right="0.75" top="1.45" bottom="1" header="0.59" footer="0.5"/>
  <pageSetup pageOrder="overThenDown" orientation="landscape" horizontalDpi="4294967293" verticalDpi="1200"/>
  <headerFooter alignWithMargins="0"/>
</worksheet>
</file>

<file path=xl/worksheets/sheet22.xml><?xml version="1.0" encoding="utf-8"?>
<worksheet xmlns="http://schemas.openxmlformats.org/spreadsheetml/2006/main" xmlns:r="http://schemas.openxmlformats.org/officeDocument/2006/relationships">
  <sheetPr enableFormatConditionsCalculation="0">
    <tabColor theme="5"/>
  </sheetPr>
  <dimension ref="A1:I53"/>
  <sheetViews>
    <sheetView topLeftCell="A19" zoomScaleNormal="100" workbookViewId="0">
      <selection activeCell="H52" sqref="H52:I52"/>
    </sheetView>
  </sheetViews>
  <sheetFormatPr defaultColWidth="8.85546875" defaultRowHeight="15"/>
  <cols>
    <col min="1" max="16384" width="8.85546875" style="366"/>
  </cols>
  <sheetData>
    <row r="1" spans="1:9" ht="15.75" thickBot="1">
      <c r="A1" s="1686" t="s">
        <v>423</v>
      </c>
      <c r="B1" s="1687"/>
      <c r="C1" s="1687"/>
      <c r="D1" s="1687"/>
      <c r="E1" s="1687"/>
      <c r="F1" s="1687"/>
      <c r="G1" s="1687"/>
      <c r="H1" s="1687"/>
      <c r="I1" s="1688"/>
    </row>
    <row r="2" spans="1:9" ht="15.75" thickBot="1">
      <c r="A2" s="1689" t="s">
        <v>424</v>
      </c>
      <c r="B2" s="1690"/>
      <c r="C2" s="1690"/>
      <c r="D2" s="1690"/>
      <c r="E2" s="1690"/>
      <c r="F2" s="1690"/>
      <c r="G2" s="1690"/>
      <c r="H2" s="1690"/>
      <c r="I2" s="1691"/>
    </row>
    <row r="3" spans="1:9">
      <c r="A3" s="366" t="s">
        <v>425</v>
      </c>
      <c r="C3" s="1692" t="s">
        <v>746</v>
      </c>
      <c r="D3" s="1692"/>
      <c r="E3" s="1692"/>
      <c r="F3" s="367" t="s">
        <v>426</v>
      </c>
      <c r="G3" s="1692" t="s">
        <v>427</v>
      </c>
      <c r="H3" s="1692"/>
      <c r="I3" s="1692"/>
    </row>
    <row r="4" spans="1:9" ht="6" customHeight="1"/>
    <row r="5" spans="1:9">
      <c r="A5" s="1693" t="s">
        <v>430</v>
      </c>
      <c r="B5" s="1694"/>
      <c r="C5" s="1694"/>
      <c r="D5" s="1694"/>
      <c r="E5" s="368"/>
      <c r="F5" s="368"/>
      <c r="G5" s="368"/>
      <c r="H5" s="1695" t="s">
        <v>431</v>
      </c>
      <c r="I5" s="1695"/>
    </row>
    <row r="6" spans="1:9">
      <c r="A6" s="368" t="s">
        <v>432</v>
      </c>
      <c r="B6" s="368"/>
      <c r="C6" s="368"/>
      <c r="D6" s="368"/>
      <c r="E6" s="368"/>
      <c r="F6" s="368"/>
      <c r="G6" s="368"/>
      <c r="H6" s="368"/>
      <c r="I6" s="368"/>
    </row>
    <row r="7" spans="1:9">
      <c r="A7" s="369" t="s">
        <v>433</v>
      </c>
      <c r="B7" s="368" t="s">
        <v>434</v>
      </c>
      <c r="C7" s="679">
        <v>40</v>
      </c>
      <c r="D7" s="370" t="s">
        <v>435</v>
      </c>
      <c r="E7" s="679">
        <v>52</v>
      </c>
      <c r="F7" s="371"/>
    </row>
    <row r="8" spans="1:9">
      <c r="A8" s="369" t="s">
        <v>436</v>
      </c>
      <c r="B8" s="368" t="s">
        <v>437</v>
      </c>
      <c r="C8" s="372">
        <f>C7*E7</f>
        <v>2080</v>
      </c>
      <c r="D8" s="368" t="s">
        <v>438</v>
      </c>
      <c r="E8" s="680">
        <v>9</v>
      </c>
      <c r="H8" s="1696">
        <f>(C8*E8)</f>
        <v>18720</v>
      </c>
      <c r="I8" s="1696"/>
    </row>
    <row r="9" spans="1:9" ht="6" customHeight="1">
      <c r="A9" s="368"/>
      <c r="B9" s="368"/>
      <c r="H9" s="368"/>
      <c r="I9" s="368"/>
    </row>
    <row r="10" spans="1:9">
      <c r="A10" s="1694" t="s">
        <v>439</v>
      </c>
      <c r="B10" s="1694"/>
      <c r="C10" s="1694"/>
      <c r="D10" s="681">
        <v>4.2000000000000003E-2</v>
      </c>
      <c r="E10" s="677" t="s">
        <v>440</v>
      </c>
      <c r="F10" s="373">
        <v>106800</v>
      </c>
      <c r="H10" s="1697">
        <f>IF(H8&lt;87900,D10*H8,D10*87900)</f>
        <v>786.24</v>
      </c>
      <c r="I10" s="1697"/>
    </row>
    <row r="11" spans="1:9">
      <c r="A11" s="1694" t="s">
        <v>441</v>
      </c>
      <c r="B11" s="1694"/>
      <c r="C11" s="1694"/>
      <c r="D11" s="681">
        <v>1.4500000000000001E-2</v>
      </c>
      <c r="E11" s="677"/>
      <c r="F11" s="374"/>
      <c r="H11" s="1694">
        <f>(D11*H8)</f>
        <v>271.44</v>
      </c>
      <c r="I11" s="1694"/>
    </row>
    <row r="12" spans="1:9" ht="6" customHeight="1">
      <c r="A12" s="368"/>
      <c r="B12" s="368"/>
      <c r="C12" s="368"/>
      <c r="E12" s="368"/>
      <c r="F12" s="368"/>
      <c r="H12" s="368"/>
      <c r="I12" s="368"/>
    </row>
    <row r="13" spans="1:9">
      <c r="A13" s="1694" t="s">
        <v>442</v>
      </c>
      <c r="B13" s="1694"/>
      <c r="C13" s="1694"/>
      <c r="E13" s="368"/>
      <c r="F13" s="368"/>
      <c r="H13" s="368"/>
      <c r="I13" s="368"/>
    </row>
    <row r="14" spans="1:9">
      <c r="B14" s="375" t="s">
        <v>443</v>
      </c>
      <c r="C14" s="1698">
        <v>1.2E-2</v>
      </c>
      <c r="D14" s="1698"/>
      <c r="E14" s="677" t="s">
        <v>747</v>
      </c>
      <c r="F14" s="376">
        <v>16200</v>
      </c>
      <c r="H14" s="1699">
        <f>IF(H8&gt;16200,C14*16200,C14*H8)</f>
        <v>194.4</v>
      </c>
      <c r="I14" s="1699"/>
    </row>
    <row r="15" spans="1:9">
      <c r="B15" s="377" t="s">
        <v>445</v>
      </c>
      <c r="C15" s="1698">
        <v>8.0000000000000002E-3</v>
      </c>
      <c r="D15" s="1700"/>
      <c r="E15" s="677" t="s">
        <v>444</v>
      </c>
      <c r="F15" s="376">
        <v>7000</v>
      </c>
      <c r="H15" s="1699">
        <f>IF(H8&gt;7000,C15*7000,C15*H8)</f>
        <v>56</v>
      </c>
      <c r="I15" s="1699"/>
    </row>
    <row r="16" spans="1:9" ht="6" customHeight="1">
      <c r="H16" s="368"/>
      <c r="I16" s="368"/>
    </row>
    <row r="17" spans="1:9">
      <c r="A17" s="1701" t="s">
        <v>446</v>
      </c>
      <c r="B17" s="1701"/>
      <c r="C17" s="1701"/>
      <c r="D17" s="1701"/>
      <c r="H17" s="368"/>
      <c r="I17" s="368"/>
    </row>
    <row r="18" spans="1:9" ht="15" customHeight="1">
      <c r="B18" s="680">
        <v>3.79</v>
      </c>
      <c r="C18" s="1702" t="s">
        <v>748</v>
      </c>
      <c r="D18" s="1695"/>
      <c r="E18" s="368"/>
      <c r="F18" s="368"/>
      <c r="G18" s="368"/>
      <c r="H18" s="1703">
        <f>((H8/100)*B18)</f>
        <v>709.48799999999994</v>
      </c>
      <c r="I18" s="1703"/>
    </row>
    <row r="19" spans="1:9" ht="15.75" thickBot="1"/>
    <row r="20" spans="1:9" ht="16.5" customHeight="1" thickTop="1" thickBot="1">
      <c r="A20" s="1704" t="s">
        <v>448</v>
      </c>
      <c r="B20" s="1704"/>
      <c r="C20" s="1704"/>
      <c r="D20" s="1704"/>
      <c r="E20" s="1704"/>
      <c r="F20" s="1704"/>
      <c r="G20" s="378"/>
      <c r="H20" s="1705">
        <f>(H8+H10+H11+H14+H15+H18)</f>
        <v>20737.568000000003</v>
      </c>
      <c r="I20" s="1706"/>
    </row>
    <row r="21" spans="1:9" ht="6" customHeight="1" thickTop="1"/>
    <row r="22" spans="1:9">
      <c r="A22" s="1693" t="s">
        <v>449</v>
      </c>
      <c r="B22" s="1693"/>
      <c r="C22" s="368"/>
      <c r="D22" s="368"/>
      <c r="E22" s="368"/>
    </row>
    <row r="23" spans="1:9">
      <c r="A23" s="1694" t="s">
        <v>450</v>
      </c>
      <c r="B23" s="1694"/>
      <c r="C23" s="676"/>
      <c r="D23" s="368"/>
      <c r="E23" s="368"/>
      <c r="H23" s="1707">
        <v>0</v>
      </c>
      <c r="I23" s="1707"/>
    </row>
    <row r="24" spans="1:9" ht="15" customHeight="1">
      <c r="A24" s="1694" t="s">
        <v>451</v>
      </c>
      <c r="B24" s="1694"/>
      <c r="C24" s="368"/>
      <c r="D24" s="368"/>
      <c r="E24" s="368"/>
    </row>
    <row r="25" spans="1:9">
      <c r="A25" s="368"/>
      <c r="B25" s="676" t="s">
        <v>452</v>
      </c>
      <c r="C25" s="676"/>
      <c r="D25" s="368"/>
      <c r="E25" s="368"/>
      <c r="H25" s="1707">
        <v>0</v>
      </c>
      <c r="I25" s="1707"/>
    </row>
    <row r="26" spans="1:9">
      <c r="A26" s="368"/>
      <c r="B26" s="676" t="s">
        <v>453</v>
      </c>
      <c r="C26" s="368"/>
      <c r="D26" s="368"/>
      <c r="E26" s="368"/>
      <c r="H26" s="1707">
        <v>0</v>
      </c>
      <c r="I26" s="1707"/>
    </row>
    <row r="27" spans="1:9">
      <c r="A27" s="368"/>
      <c r="B27" s="368" t="s">
        <v>454</v>
      </c>
      <c r="C27" s="368"/>
      <c r="D27" s="368"/>
      <c r="E27" s="368"/>
      <c r="H27" s="1707">
        <v>0</v>
      </c>
      <c r="I27" s="1707"/>
    </row>
    <row r="28" spans="1:9">
      <c r="A28" s="368"/>
      <c r="B28" s="368" t="s">
        <v>455</v>
      </c>
      <c r="C28" s="368"/>
      <c r="D28" s="368"/>
      <c r="E28" s="368"/>
      <c r="H28" s="1707">
        <v>0</v>
      </c>
      <c r="I28" s="1707"/>
    </row>
    <row r="29" spans="1:9">
      <c r="A29" s="368"/>
      <c r="B29" s="1694" t="s">
        <v>456</v>
      </c>
      <c r="C29" s="1694"/>
      <c r="D29" s="368"/>
      <c r="E29" s="368"/>
      <c r="H29" s="1707">
        <v>0</v>
      </c>
      <c r="I29" s="1707"/>
    </row>
    <row r="30" spans="1:9">
      <c r="A30" s="368"/>
      <c r="B30" s="368" t="s">
        <v>457</v>
      </c>
      <c r="C30" s="1695"/>
      <c r="D30" s="1695"/>
      <c r="E30" s="1695"/>
      <c r="H30" s="1708">
        <v>0</v>
      </c>
      <c r="I30" s="1708"/>
    </row>
    <row r="31" spans="1:9">
      <c r="A31" s="368"/>
      <c r="B31" s="368" t="s">
        <v>458</v>
      </c>
      <c r="C31" s="1695"/>
      <c r="D31" s="1695"/>
      <c r="E31" s="1695"/>
      <c r="H31" s="1707">
        <v>0</v>
      </c>
      <c r="I31" s="1707"/>
    </row>
    <row r="32" spans="1:9">
      <c r="A32" s="368"/>
      <c r="B32" s="368" t="s">
        <v>459</v>
      </c>
      <c r="C32" s="368"/>
      <c r="D32" s="368"/>
      <c r="E32" s="368"/>
      <c r="H32" s="1707">
        <f>SUM(H25:H31)</f>
        <v>0</v>
      </c>
      <c r="I32" s="1707"/>
    </row>
    <row r="33" spans="1:9">
      <c r="A33" s="1694" t="s">
        <v>460</v>
      </c>
      <c r="B33" s="1694"/>
      <c r="C33" s="1695"/>
      <c r="D33" s="1695"/>
      <c r="E33" s="1695"/>
      <c r="H33" s="1707">
        <v>0</v>
      </c>
      <c r="I33" s="1707"/>
    </row>
    <row r="34" spans="1:9">
      <c r="A34" s="1694" t="s">
        <v>461</v>
      </c>
      <c r="B34" s="1694"/>
      <c r="C34" s="368"/>
      <c r="D34" s="368"/>
      <c r="E34" s="368"/>
      <c r="H34" s="1709">
        <v>0</v>
      </c>
      <c r="I34" s="1709"/>
    </row>
    <row r="35" spans="1:9">
      <c r="A35" s="1694" t="s">
        <v>462</v>
      </c>
      <c r="B35" s="1694"/>
      <c r="C35" s="368"/>
      <c r="D35" s="368"/>
      <c r="E35" s="368"/>
      <c r="H35" s="1709">
        <v>0</v>
      </c>
      <c r="I35" s="1709"/>
    </row>
    <row r="36" spans="1:9">
      <c r="A36" s="1694" t="s">
        <v>463</v>
      </c>
      <c r="B36" s="1694"/>
      <c r="C36" s="368"/>
      <c r="D36" s="368"/>
      <c r="E36" s="368"/>
      <c r="H36" s="1709">
        <v>0</v>
      </c>
      <c r="I36" s="1709"/>
    </row>
    <row r="37" spans="1:9">
      <c r="A37" s="1694" t="s">
        <v>464</v>
      </c>
      <c r="B37" s="1694"/>
      <c r="C37" s="1694"/>
      <c r="D37" s="1694"/>
      <c r="E37" s="1694"/>
      <c r="H37" s="1709">
        <v>0</v>
      </c>
      <c r="I37" s="1709"/>
    </row>
    <row r="38" spans="1:9">
      <c r="A38" s="1694" t="s">
        <v>465</v>
      </c>
      <c r="B38" s="1694"/>
      <c r="C38" s="368"/>
      <c r="D38" s="368"/>
      <c r="E38" s="368"/>
      <c r="H38" s="1709">
        <v>0</v>
      </c>
      <c r="I38" s="1709"/>
    </row>
    <row r="39" spans="1:9">
      <c r="A39" s="368" t="s">
        <v>466</v>
      </c>
      <c r="B39" s="1710"/>
      <c r="C39" s="1710"/>
      <c r="D39" s="1710"/>
      <c r="E39" s="1710"/>
      <c r="H39" s="1709">
        <v>0</v>
      </c>
      <c r="I39" s="1709"/>
    </row>
    <row r="40" spans="1:9">
      <c r="A40" s="368" t="s">
        <v>467</v>
      </c>
      <c r="B40" s="1710"/>
      <c r="C40" s="1710"/>
      <c r="D40" s="1710"/>
      <c r="E40" s="1710"/>
      <c r="H40" s="1709">
        <v>0</v>
      </c>
      <c r="I40" s="1709"/>
    </row>
    <row r="41" spans="1:9">
      <c r="A41" s="368" t="s">
        <v>468</v>
      </c>
      <c r="B41" s="1710"/>
      <c r="C41" s="1710"/>
      <c r="D41" s="1710"/>
      <c r="E41" s="1710"/>
      <c r="H41" s="1709">
        <v>0</v>
      </c>
      <c r="I41" s="1709"/>
    </row>
    <row r="42" spans="1:9" ht="15.75" thickBot="1">
      <c r="A42" s="368" t="s">
        <v>469</v>
      </c>
      <c r="B42" s="1710"/>
      <c r="C42" s="1710"/>
      <c r="D42" s="1710"/>
      <c r="E42" s="1710"/>
      <c r="H42" s="1709">
        <v>0</v>
      </c>
      <c r="I42" s="1709"/>
    </row>
    <row r="43" spans="1:9" ht="15.75" thickTop="1">
      <c r="A43" s="1711" t="s">
        <v>470</v>
      </c>
      <c r="B43" s="1711"/>
      <c r="C43" s="1711"/>
      <c r="D43" s="1711"/>
      <c r="E43" s="1711"/>
      <c r="F43" s="379"/>
      <c r="G43" s="380"/>
      <c r="H43" s="1712">
        <f>(H23+H32+H33+H34+H35+H36+H37+H38+H39+H40+H41+H42)</f>
        <v>0</v>
      </c>
      <c r="I43" s="1713"/>
    </row>
    <row r="44" spans="1:9" ht="15.75" thickBot="1">
      <c r="A44" s="1714" t="s">
        <v>471</v>
      </c>
      <c r="B44" s="1714"/>
      <c r="C44" s="1714"/>
      <c r="D44" s="1714"/>
      <c r="E44" s="1714"/>
      <c r="F44" s="380"/>
      <c r="G44" s="380"/>
      <c r="H44" s="1715">
        <f>(H20+H43)</f>
        <v>20737.568000000003</v>
      </c>
      <c r="I44" s="1716"/>
    </row>
    <row r="45" spans="1:9" ht="15.75" thickTop="1">
      <c r="A45" s="1693" t="s">
        <v>472</v>
      </c>
      <c r="B45" s="1693"/>
      <c r="C45" s="1693"/>
      <c r="D45" s="676"/>
      <c r="E45" s="368"/>
      <c r="F45" s="368"/>
      <c r="G45" s="368"/>
      <c r="H45" s="368"/>
      <c r="I45" s="368"/>
    </row>
    <row r="46" spans="1:9">
      <c r="A46" s="1694" t="s">
        <v>473</v>
      </c>
      <c r="B46" s="1694"/>
      <c r="C46" s="682">
        <v>0</v>
      </c>
      <c r="D46" s="1695" t="s">
        <v>474</v>
      </c>
      <c r="E46" s="1695"/>
      <c r="F46" s="381">
        <f>(C46*8)</f>
        <v>0</v>
      </c>
      <c r="G46" s="677" t="s">
        <v>475</v>
      </c>
      <c r="H46" s="382"/>
    </row>
    <row r="47" spans="1:9">
      <c r="A47" s="1694" t="s">
        <v>476</v>
      </c>
      <c r="B47" s="1694"/>
      <c r="C47" s="682">
        <v>0</v>
      </c>
      <c r="D47" s="1695" t="s">
        <v>474</v>
      </c>
      <c r="E47" s="1695"/>
      <c r="F47" s="381">
        <f>(C47*8)</f>
        <v>0</v>
      </c>
      <c r="G47" s="383" t="s">
        <v>475</v>
      </c>
    </row>
    <row r="48" spans="1:9">
      <c r="A48" s="1694" t="s">
        <v>477</v>
      </c>
      <c r="B48" s="1694"/>
      <c r="C48" s="682">
        <v>0</v>
      </c>
      <c r="D48" s="1695" t="s">
        <v>474</v>
      </c>
      <c r="E48" s="1695"/>
      <c r="F48" s="381">
        <f>(C48*8)</f>
        <v>0</v>
      </c>
      <c r="G48" s="383" t="s">
        <v>475</v>
      </c>
    </row>
    <row r="49" spans="1:9">
      <c r="A49" s="1694" t="s">
        <v>478</v>
      </c>
      <c r="B49" s="1694"/>
      <c r="C49" s="1694"/>
      <c r="D49" s="1694"/>
      <c r="E49" s="368"/>
      <c r="F49" s="381">
        <f>(F46+F47+F48)</f>
        <v>0</v>
      </c>
      <c r="G49" s="677" t="s">
        <v>475</v>
      </c>
      <c r="H49" s="368"/>
      <c r="I49" s="368"/>
    </row>
    <row r="50" spans="1:9">
      <c r="A50" s="1694" t="s">
        <v>480</v>
      </c>
      <c r="B50" s="1694"/>
      <c r="C50" s="1694"/>
      <c r="D50" s="368"/>
      <c r="E50" s="368"/>
      <c r="F50" s="381">
        <f>(C8-F49)</f>
        <v>2080</v>
      </c>
      <c r="G50" s="677" t="s">
        <v>475</v>
      </c>
      <c r="H50" s="368"/>
      <c r="I50" s="368"/>
    </row>
    <row r="51" spans="1:9" ht="15.75" thickBot="1">
      <c r="A51" s="676"/>
      <c r="B51" s="676"/>
      <c r="C51" s="676"/>
      <c r="D51" s="368"/>
      <c r="E51" s="368"/>
      <c r="F51" s="383"/>
      <c r="G51" s="368"/>
      <c r="H51" s="368"/>
      <c r="I51" s="368"/>
    </row>
    <row r="52" spans="1:9" ht="16.5" thickTop="1" thickBot="1">
      <c r="A52" s="1714" t="s">
        <v>481</v>
      </c>
      <c r="B52" s="1714"/>
      <c r="C52" s="1714"/>
      <c r="D52" s="1714"/>
      <c r="E52" s="1714"/>
      <c r="F52" s="1714"/>
      <c r="G52" s="380"/>
      <c r="H52" s="1717">
        <f>(H44/F50)</f>
        <v>9.9699846153846163</v>
      </c>
      <c r="I52" s="1718"/>
    </row>
    <row r="53" spans="1:9" ht="15.75" thickTop="1"/>
  </sheetData>
  <mergeCells count="72">
    <mergeCell ref="A52:F52"/>
    <mergeCell ref="H52:I52"/>
    <mergeCell ref="A47:B47"/>
    <mergeCell ref="D47:E47"/>
    <mergeCell ref="A48:B48"/>
    <mergeCell ref="D48:E48"/>
    <mergeCell ref="A49:D49"/>
    <mergeCell ref="A50:C50"/>
    <mergeCell ref="A43:E43"/>
    <mergeCell ref="H43:I43"/>
    <mergeCell ref="A44:E44"/>
    <mergeCell ref="H44:I44"/>
    <mergeCell ref="A45:C45"/>
    <mergeCell ref="A46:B46"/>
    <mergeCell ref="D46:E46"/>
    <mergeCell ref="B40:E40"/>
    <mergeCell ref="H40:I40"/>
    <mergeCell ref="B41:E41"/>
    <mergeCell ref="H41:I41"/>
    <mergeCell ref="B42:E42"/>
    <mergeCell ref="H42:I42"/>
    <mergeCell ref="A37:E37"/>
    <mergeCell ref="H37:I37"/>
    <mergeCell ref="A38:B38"/>
    <mergeCell ref="H38:I38"/>
    <mergeCell ref="B39:E39"/>
    <mergeCell ref="H39:I39"/>
    <mergeCell ref="A34:B34"/>
    <mergeCell ref="H34:I34"/>
    <mergeCell ref="A35:B35"/>
    <mergeCell ref="H35:I35"/>
    <mergeCell ref="A36:B36"/>
    <mergeCell ref="H36:I36"/>
    <mergeCell ref="C30:E30"/>
    <mergeCell ref="H30:I30"/>
    <mergeCell ref="C31:E31"/>
    <mergeCell ref="H31:I31"/>
    <mergeCell ref="H32:I32"/>
    <mergeCell ref="A33:B33"/>
    <mergeCell ref="C33:E33"/>
    <mergeCell ref="H33:I33"/>
    <mergeCell ref="H25:I25"/>
    <mergeCell ref="H26:I26"/>
    <mergeCell ref="H27:I27"/>
    <mergeCell ref="H28:I28"/>
    <mergeCell ref="B29:C29"/>
    <mergeCell ref="H29:I29"/>
    <mergeCell ref="A20:F20"/>
    <mergeCell ref="H20:I20"/>
    <mergeCell ref="A22:B22"/>
    <mergeCell ref="A23:B23"/>
    <mergeCell ref="H23:I23"/>
    <mergeCell ref="A24:B24"/>
    <mergeCell ref="C14:D14"/>
    <mergeCell ref="H14:I14"/>
    <mergeCell ref="C15:D15"/>
    <mergeCell ref="H15:I15"/>
    <mergeCell ref="A17:D17"/>
    <mergeCell ref="C18:D18"/>
    <mergeCell ref="H18:I18"/>
    <mergeCell ref="H8:I8"/>
    <mergeCell ref="A10:C10"/>
    <mergeCell ref="H10:I10"/>
    <mergeCell ref="A11:C11"/>
    <mergeCell ref="H11:I11"/>
    <mergeCell ref="A13:C13"/>
    <mergeCell ref="A1:I1"/>
    <mergeCell ref="A2:I2"/>
    <mergeCell ref="C3:E3"/>
    <mergeCell ref="G3:I3"/>
    <mergeCell ref="A5:D5"/>
    <mergeCell ref="H5:I5"/>
  </mergeCells>
  <phoneticPr fontId="6" type="noConversion"/>
  <pageMargins left="0.7" right="0.7" top="0.46" bottom="0.45" header="0.3" footer="0.3"/>
  <pageSetup orientation="portrait"/>
  <headerFooter alignWithMargins="0"/>
</worksheet>
</file>

<file path=xl/worksheets/sheet23.xml><?xml version="1.0" encoding="utf-8"?>
<worksheet xmlns="http://schemas.openxmlformats.org/spreadsheetml/2006/main" xmlns:r="http://schemas.openxmlformats.org/officeDocument/2006/relationships">
  <sheetPr enableFormatConditionsCalculation="0">
    <tabColor theme="3"/>
  </sheetPr>
  <dimension ref="A1:Q35"/>
  <sheetViews>
    <sheetView topLeftCell="A2" zoomScaleNormal="100" workbookViewId="0">
      <selection activeCell="H52" sqref="H52:I52"/>
    </sheetView>
  </sheetViews>
  <sheetFormatPr defaultColWidth="9.140625" defaultRowHeight="15"/>
  <cols>
    <col min="1" max="2" width="11.7109375" style="366" customWidth="1"/>
    <col min="3" max="3" width="10.7109375" style="366" customWidth="1"/>
    <col min="4" max="4" width="11.7109375" style="366" customWidth="1"/>
    <col min="5" max="5" width="10.7109375" style="366" customWidth="1"/>
    <col min="6" max="6" width="10.42578125" style="366" customWidth="1"/>
    <col min="7" max="7" width="11.7109375" style="366" customWidth="1"/>
    <col min="8" max="8" width="10.7109375" style="366" customWidth="1"/>
    <col min="9" max="16384" width="9.140625" style="366"/>
  </cols>
  <sheetData>
    <row r="1" spans="1:17" ht="16.350000000000001" customHeight="1">
      <c r="A1" s="1719" t="s">
        <v>749</v>
      </c>
      <c r="B1" s="1719"/>
      <c r="C1" s="1719"/>
      <c r="D1" s="1719"/>
      <c r="E1" s="1719"/>
      <c r="F1" s="1719"/>
      <c r="G1" s="1719"/>
      <c r="H1" s="1719"/>
      <c r="I1" s="384"/>
      <c r="J1" s="385"/>
      <c r="K1" s="385"/>
      <c r="L1" s="385"/>
      <c r="M1" s="386"/>
      <c r="N1" s="386"/>
      <c r="O1" s="386"/>
      <c r="P1" s="386"/>
      <c r="Q1" s="386"/>
    </row>
    <row r="2" spans="1:17" ht="16.350000000000001" customHeight="1">
      <c r="A2" s="1720" t="s">
        <v>750</v>
      </c>
      <c r="B2" s="1720"/>
      <c r="C2" s="1720"/>
      <c r="D2" s="1720"/>
      <c r="E2" s="1720"/>
      <c r="F2" s="1720"/>
      <c r="G2" s="1720"/>
      <c r="H2" s="1720"/>
      <c r="I2" s="384"/>
      <c r="J2" s="385"/>
      <c r="K2" s="385"/>
      <c r="L2" s="385"/>
      <c r="M2" s="386"/>
      <c r="N2" s="386"/>
      <c r="O2" s="386"/>
      <c r="P2" s="386"/>
      <c r="Q2" s="386"/>
    </row>
    <row r="3" spans="1:17" ht="16.350000000000001" customHeight="1" thickBot="1">
      <c r="A3" s="1721" t="s">
        <v>424</v>
      </c>
      <c r="B3" s="1721"/>
      <c r="C3" s="1721"/>
      <c r="D3" s="1721"/>
      <c r="E3" s="1721"/>
      <c r="F3" s="1721"/>
      <c r="G3" s="1721"/>
      <c r="H3" s="1721"/>
      <c r="I3" s="387"/>
      <c r="J3" s="385"/>
      <c r="K3" s="385"/>
      <c r="L3" s="385"/>
      <c r="M3" s="386"/>
      <c r="N3" s="386"/>
      <c r="O3" s="386"/>
      <c r="P3" s="386"/>
      <c r="Q3" s="386"/>
    </row>
    <row r="4" spans="1:17" s="393" customFormat="1" ht="42" customHeight="1">
      <c r="A4" s="1722" t="s">
        <v>179</v>
      </c>
      <c r="B4" s="1723"/>
      <c r="C4" s="388"/>
      <c r="D4" s="389"/>
      <c r="E4" s="390" t="s">
        <v>180</v>
      </c>
      <c r="F4" s="390" t="s">
        <v>181</v>
      </c>
      <c r="G4" s="390" t="s">
        <v>182</v>
      </c>
      <c r="H4" s="391" t="s">
        <v>751</v>
      </c>
      <c r="I4" s="392"/>
    </row>
    <row r="5" spans="1:17" s="393" customFormat="1" ht="15" customHeight="1">
      <c r="A5" s="1724" t="s">
        <v>190</v>
      </c>
      <c r="B5" s="1725"/>
      <c r="C5" s="1726"/>
      <c r="D5" s="683" t="s">
        <v>191</v>
      </c>
      <c r="E5" s="684">
        <v>24300</v>
      </c>
      <c r="F5" s="684">
        <f>$E5*0.22047</f>
        <v>5357.4210000000003</v>
      </c>
      <c r="G5" s="684">
        <v>20</v>
      </c>
      <c r="H5" s="685">
        <v>500</v>
      </c>
      <c r="I5" s="394"/>
    </row>
    <row r="6" spans="1:17" s="393" customFormat="1" ht="15" customHeight="1">
      <c r="A6" s="1724" t="s">
        <v>752</v>
      </c>
      <c r="B6" s="1725"/>
      <c r="C6" s="1726"/>
      <c r="D6" s="683" t="s">
        <v>753</v>
      </c>
      <c r="E6" s="684">
        <v>25000</v>
      </c>
      <c r="F6" s="684">
        <v>5500</v>
      </c>
      <c r="G6" s="684">
        <v>10</v>
      </c>
      <c r="H6" s="685">
        <v>24000</v>
      </c>
      <c r="I6" s="394"/>
    </row>
    <row r="7" spans="1:17" s="393" customFormat="1" ht="15" customHeight="1">
      <c r="A7" s="1724" t="s">
        <v>754</v>
      </c>
      <c r="B7" s="1725"/>
      <c r="C7" s="1726"/>
      <c r="D7" s="683" t="s">
        <v>755</v>
      </c>
      <c r="E7" s="684">
        <v>750</v>
      </c>
      <c r="F7" s="686">
        <v>0</v>
      </c>
      <c r="G7" s="684">
        <v>5</v>
      </c>
      <c r="H7" s="685">
        <v>250</v>
      </c>
      <c r="I7" s="394"/>
    </row>
    <row r="8" spans="1:17" s="393" customFormat="1" ht="15" customHeight="1" thickBot="1">
      <c r="A8" s="1724" t="s">
        <v>756</v>
      </c>
      <c r="B8" s="1725"/>
      <c r="C8" s="1726"/>
      <c r="D8" s="683"/>
      <c r="E8" s="686">
        <v>1850</v>
      </c>
      <c r="F8" s="687">
        <v>275</v>
      </c>
      <c r="G8" s="688">
        <v>15</v>
      </c>
      <c r="H8" s="689">
        <v>250</v>
      </c>
      <c r="I8" s="394"/>
    </row>
    <row r="9" spans="1:17">
      <c r="A9" s="1727" t="s">
        <v>757</v>
      </c>
      <c r="B9" s="1727"/>
      <c r="C9" s="1727"/>
      <c r="D9" s="1727"/>
      <c r="E9" s="1727"/>
      <c r="F9" s="395"/>
      <c r="G9" s="395"/>
      <c r="H9" s="395"/>
      <c r="I9" s="394"/>
    </row>
    <row r="10" spans="1:17" ht="15.75" thickBot="1">
      <c r="A10" s="395"/>
      <c r="B10" s="395"/>
      <c r="C10" s="395"/>
      <c r="D10" s="395"/>
      <c r="E10" s="395"/>
      <c r="F10" s="395"/>
      <c r="G10" s="395"/>
      <c r="H10" s="395"/>
      <c r="I10" s="394"/>
    </row>
    <row r="11" spans="1:17" ht="51.75" customHeight="1">
      <c r="A11" s="1722" t="s">
        <v>179</v>
      </c>
      <c r="B11" s="1723"/>
      <c r="C11" s="388"/>
      <c r="D11" s="390" t="s">
        <v>183</v>
      </c>
      <c r="E11" s="390" t="s">
        <v>185</v>
      </c>
      <c r="F11" s="390" t="s">
        <v>184</v>
      </c>
      <c r="G11" s="390" t="s">
        <v>38</v>
      </c>
      <c r="H11" s="391" t="s">
        <v>758</v>
      </c>
    </row>
    <row r="12" spans="1:17">
      <c r="A12" s="1724" t="s">
        <v>190</v>
      </c>
      <c r="B12" s="1725"/>
      <c r="C12" s="1726"/>
      <c r="D12" s="396">
        <f>($E5-$F5)/$G5</f>
        <v>947.12894999999992</v>
      </c>
      <c r="E12" s="397">
        <f>($E5+$F5)/2*C32</f>
        <v>778.50730125000007</v>
      </c>
      <c r="F12" s="397">
        <f>($E5+$F5)/2*C33</f>
        <v>118.62968400000001</v>
      </c>
      <c r="G12" s="397">
        <f>($E5+$F5)/2*C34</f>
        <v>118.62968400000001</v>
      </c>
      <c r="H12" s="398">
        <f>$D12+$E12+$F12+$G12</f>
        <v>1962.89561925</v>
      </c>
    </row>
    <row r="13" spans="1:17">
      <c r="A13" s="1724" t="s">
        <v>759</v>
      </c>
      <c r="B13" s="1725"/>
      <c r="C13" s="1726"/>
      <c r="D13" s="396">
        <f>($E6-$F6)/$G6</f>
        <v>1950</v>
      </c>
      <c r="E13" s="397">
        <f>($E6+$F6)/2*C32</f>
        <v>800.625</v>
      </c>
      <c r="F13" s="397">
        <f>($E6+$F6)/2*C33</f>
        <v>122</v>
      </c>
      <c r="G13" s="397">
        <f>($E6+$F6)/2*C34</f>
        <v>122</v>
      </c>
      <c r="H13" s="398">
        <f>$D13+$E13+$F13+$G13</f>
        <v>2994.625</v>
      </c>
    </row>
    <row r="14" spans="1:17">
      <c r="A14" s="1724" t="s">
        <v>754</v>
      </c>
      <c r="B14" s="1725"/>
      <c r="C14" s="1726"/>
      <c r="D14" s="396">
        <f>($E7-$F7)/$G7</f>
        <v>150</v>
      </c>
      <c r="E14" s="397">
        <f>($E7+$F7)/2*C32</f>
        <v>19.6875</v>
      </c>
      <c r="F14" s="397">
        <f>($E7+$F7)/2*C33</f>
        <v>3</v>
      </c>
      <c r="G14" s="397">
        <f>($E7+$F7)/2*C34</f>
        <v>3</v>
      </c>
      <c r="H14" s="398">
        <f>$D14+$E14+$F14+$G14</f>
        <v>175.6875</v>
      </c>
    </row>
    <row r="15" spans="1:17" ht="15.75" thickBot="1">
      <c r="A15" s="1731" t="s">
        <v>756</v>
      </c>
      <c r="B15" s="1732"/>
      <c r="C15" s="1733"/>
      <c r="D15" s="399">
        <f>($E8-$F8)/$G8</f>
        <v>105</v>
      </c>
      <c r="E15" s="400">
        <f>($E8+$F8)/2*C32</f>
        <v>55.78125</v>
      </c>
      <c r="F15" s="400">
        <f>($E8+$F8)/2*C33</f>
        <v>8.5</v>
      </c>
      <c r="G15" s="400">
        <f>($E8+$F8)/2*C34</f>
        <v>8.5</v>
      </c>
      <c r="H15" s="401">
        <f>$D15+$E15+$F15+$G15</f>
        <v>177.78125</v>
      </c>
    </row>
    <row r="16" spans="1:17" ht="15.75" thickBot="1">
      <c r="A16" s="402"/>
      <c r="B16" s="402"/>
      <c r="C16" s="402"/>
      <c r="D16" s="402"/>
      <c r="E16" s="402"/>
      <c r="F16" s="402"/>
      <c r="G16" s="402"/>
      <c r="H16" s="402"/>
      <c r="I16" s="394"/>
    </row>
    <row r="17" spans="1:9" ht="51.75" customHeight="1">
      <c r="A17" s="1722" t="s">
        <v>179</v>
      </c>
      <c r="B17" s="1723"/>
      <c r="C17" s="403"/>
      <c r="D17" s="390" t="s">
        <v>760</v>
      </c>
      <c r="E17" s="390" t="s">
        <v>761</v>
      </c>
      <c r="F17" s="390" t="s">
        <v>187</v>
      </c>
      <c r="G17" s="390" t="s">
        <v>762</v>
      </c>
      <c r="H17" s="690" t="s">
        <v>763</v>
      </c>
      <c r="I17" s="394"/>
    </row>
    <row r="18" spans="1:9">
      <c r="A18" s="1724" t="s">
        <v>190</v>
      </c>
      <c r="B18" s="1725"/>
      <c r="C18" s="1726"/>
      <c r="D18" s="404">
        <f>(0.3*E5)/G5</f>
        <v>364.5</v>
      </c>
      <c r="E18" s="405">
        <f>(D27*E27*H5)+((D27*E27*H5)*F27)</f>
        <v>3565</v>
      </c>
      <c r="F18" s="396">
        <f>SUM($D18:$E18)</f>
        <v>3929.5</v>
      </c>
      <c r="G18" s="404">
        <f>$H12+$D18+$E18</f>
        <v>5892.39561925</v>
      </c>
      <c r="H18" s="691">
        <f>$G18/H5</f>
        <v>11.7847912385</v>
      </c>
      <c r="I18" s="394"/>
    </row>
    <row r="19" spans="1:9">
      <c r="A19" s="1724" t="s">
        <v>759</v>
      </c>
      <c r="B19" s="1725"/>
      <c r="C19" s="1726"/>
      <c r="D19" s="404">
        <f>(0.3*E6)/G6</f>
        <v>750</v>
      </c>
      <c r="E19" s="404">
        <f>(D28*(1/E28)*H6)+(D28*(1/E28)*H6)*F28</f>
        <v>5520</v>
      </c>
      <c r="F19" s="396">
        <f>SUM($D19:$E19)</f>
        <v>6270</v>
      </c>
      <c r="G19" s="404">
        <f>$H13+$D19+$E19</f>
        <v>9264.625</v>
      </c>
      <c r="H19" s="691">
        <f>$G19/H6</f>
        <v>0.38602604166666665</v>
      </c>
      <c r="I19" s="394"/>
    </row>
    <row r="20" spans="1:9">
      <c r="A20" s="1724" t="s">
        <v>754</v>
      </c>
      <c r="B20" s="1725"/>
      <c r="C20" s="1726"/>
      <c r="D20" s="404">
        <f>(0.3*E7)/G7</f>
        <v>45</v>
      </c>
      <c r="E20" s="404">
        <f>(D29*E29*H7)+(D29*E29*H7)*F29</f>
        <v>431.25</v>
      </c>
      <c r="F20" s="396">
        <f>SUM($D20:$E20)</f>
        <v>476.25</v>
      </c>
      <c r="G20" s="404">
        <f>$H14+$D20+$E20</f>
        <v>651.9375</v>
      </c>
      <c r="H20" s="691">
        <f>$G20/H7</f>
        <v>2.6077499999999998</v>
      </c>
      <c r="I20" s="394"/>
    </row>
    <row r="21" spans="1:9" ht="15.75" thickBot="1">
      <c r="A21" s="1731" t="s">
        <v>756</v>
      </c>
      <c r="B21" s="1732"/>
      <c r="C21" s="1733"/>
      <c r="D21" s="406">
        <f>(0.3*E8)/G8</f>
        <v>37</v>
      </c>
      <c r="E21" s="406">
        <v>0</v>
      </c>
      <c r="F21" s="399">
        <f>SUM($D21:$E21)</f>
        <v>37</v>
      </c>
      <c r="G21" s="406">
        <f>$H15+$D21+$E21</f>
        <v>214.78125</v>
      </c>
      <c r="H21" s="692">
        <f>$G21/H8</f>
        <v>0.85912500000000003</v>
      </c>
      <c r="I21" s="394"/>
    </row>
    <row r="22" spans="1:9">
      <c r="A22" s="1746" t="s">
        <v>764</v>
      </c>
      <c r="B22" s="1746"/>
      <c r="C22" s="1746"/>
      <c r="D22" s="394"/>
      <c r="E22" s="394"/>
      <c r="F22" s="394"/>
      <c r="G22" s="394"/>
      <c r="H22" s="394"/>
      <c r="I22" s="394"/>
    </row>
    <row r="23" spans="1:9" ht="15.75" thickBot="1">
      <c r="A23" s="407"/>
      <c r="B23" s="395"/>
      <c r="C23" s="395"/>
      <c r="D23" s="394"/>
      <c r="E23" s="394"/>
      <c r="F23" s="394"/>
      <c r="G23" s="394"/>
      <c r="H23" s="394"/>
      <c r="I23" s="394"/>
    </row>
    <row r="24" spans="1:9" ht="15.75" thickBot="1">
      <c r="A24" s="1747" t="s">
        <v>765</v>
      </c>
      <c r="B24" s="1748"/>
      <c r="C24" s="1748"/>
      <c r="D24" s="1748"/>
      <c r="E24" s="1748"/>
      <c r="F24" s="1749"/>
      <c r="G24" s="394"/>
      <c r="H24" s="394"/>
      <c r="I24" s="394"/>
    </row>
    <row r="25" spans="1:9">
      <c r="A25" s="1750" t="s">
        <v>179</v>
      </c>
      <c r="B25" s="1751"/>
      <c r="C25" s="1752"/>
      <c r="D25" s="408"/>
      <c r="E25" s="409" t="s">
        <v>766</v>
      </c>
      <c r="F25" s="410" t="s">
        <v>767</v>
      </c>
    </row>
    <row r="26" spans="1:9" ht="15" customHeight="1">
      <c r="A26" s="1753"/>
      <c r="B26" s="1754"/>
      <c r="C26" s="1755"/>
      <c r="D26" s="411" t="s">
        <v>768</v>
      </c>
      <c r="E26" s="411" t="s">
        <v>769</v>
      </c>
      <c r="F26" s="412" t="s">
        <v>770</v>
      </c>
    </row>
    <row r="27" spans="1:9">
      <c r="A27" s="1756" t="s">
        <v>333</v>
      </c>
      <c r="B27" s="1757"/>
      <c r="C27" s="1758"/>
      <c r="D27" s="413">
        <v>3.1</v>
      </c>
      <c r="E27" s="414">
        <v>2</v>
      </c>
      <c r="F27" s="415">
        <v>0.15</v>
      </c>
    </row>
    <row r="28" spans="1:9">
      <c r="A28" s="1728" t="s">
        <v>771</v>
      </c>
      <c r="B28" s="1729"/>
      <c r="C28" s="1730"/>
      <c r="D28" s="413">
        <v>3</v>
      </c>
      <c r="E28" s="414">
        <v>15</v>
      </c>
      <c r="F28" s="415">
        <v>0.15</v>
      </c>
    </row>
    <row r="29" spans="1:9" ht="15.75" thickBot="1">
      <c r="A29" s="1734" t="s">
        <v>754</v>
      </c>
      <c r="B29" s="1735"/>
      <c r="C29" s="1736"/>
      <c r="D29" s="416">
        <v>3</v>
      </c>
      <c r="E29" s="417">
        <v>0.5</v>
      </c>
      <c r="F29" s="418">
        <v>0.15</v>
      </c>
    </row>
    <row r="30" spans="1:9" ht="15.75" thickBot="1"/>
    <row r="31" spans="1:9" ht="15.75" thickBot="1">
      <c r="A31" s="1737" t="s">
        <v>772</v>
      </c>
      <c r="B31" s="1738"/>
      <c r="C31" s="1739"/>
    </row>
    <row r="32" spans="1:9">
      <c r="A32" s="1740" t="s">
        <v>773</v>
      </c>
      <c r="B32" s="1741"/>
      <c r="C32" s="693">
        <v>5.2499999999999998E-2</v>
      </c>
    </row>
    <row r="33" spans="1:3">
      <c r="A33" s="1742" t="s">
        <v>330</v>
      </c>
      <c r="B33" s="1743"/>
      <c r="C33" s="694">
        <v>8.0000000000000002E-3</v>
      </c>
    </row>
    <row r="34" spans="1:3" ht="15.75" thickBot="1">
      <c r="A34" s="1744" t="s">
        <v>331</v>
      </c>
      <c r="B34" s="1745"/>
      <c r="C34" s="695">
        <v>8.0000000000000002E-3</v>
      </c>
    </row>
    <row r="35" spans="1:3">
      <c r="A35" s="419" t="s">
        <v>774</v>
      </c>
    </row>
  </sheetData>
  <mergeCells count="29">
    <mergeCell ref="A29:C29"/>
    <mergeCell ref="A31:C31"/>
    <mergeCell ref="A32:B32"/>
    <mergeCell ref="A33:B33"/>
    <mergeCell ref="A34:B34"/>
    <mergeCell ref="A21:C21"/>
    <mergeCell ref="A22:C22"/>
    <mergeCell ref="A24:F24"/>
    <mergeCell ref="A25:C26"/>
    <mergeCell ref="A27:C27"/>
    <mergeCell ref="A28:C28"/>
    <mergeCell ref="A14:C14"/>
    <mergeCell ref="A15:C15"/>
    <mergeCell ref="A17:B17"/>
    <mergeCell ref="A18:C18"/>
    <mergeCell ref="A19:C19"/>
    <mergeCell ref="A20:C20"/>
    <mergeCell ref="A7:C7"/>
    <mergeCell ref="A8:C8"/>
    <mergeCell ref="A9:E9"/>
    <mergeCell ref="A11:B11"/>
    <mergeCell ref="A12:C12"/>
    <mergeCell ref="A13:C13"/>
    <mergeCell ref="A1:H1"/>
    <mergeCell ref="A2:H2"/>
    <mergeCell ref="A3:H3"/>
    <mergeCell ref="A4:B4"/>
    <mergeCell ref="A5:C5"/>
    <mergeCell ref="A6:C6"/>
  </mergeCells>
  <pageMargins left="0.7" right="0.7" top="0.75" bottom="0.57999999999999996" header="0.3" footer="0.3"/>
  <pageSetup orientation="portrait" horizontalDpi="1200" verticalDpi="1200"/>
  <headerFooter alignWithMargins="0"/>
</worksheet>
</file>

<file path=xl/worksheets/sheet24.xml><?xml version="1.0" encoding="utf-8"?>
<worksheet xmlns="http://schemas.openxmlformats.org/spreadsheetml/2006/main" xmlns:r="http://schemas.openxmlformats.org/officeDocument/2006/relationships">
  <sheetPr enableFormatConditionsCalculation="0">
    <tabColor theme="6"/>
  </sheetPr>
  <dimension ref="A1:H46"/>
  <sheetViews>
    <sheetView topLeftCell="A4" workbookViewId="0">
      <selection activeCell="H52" sqref="H52:I52"/>
    </sheetView>
  </sheetViews>
  <sheetFormatPr defaultColWidth="8.85546875" defaultRowHeight="15"/>
  <cols>
    <col min="1" max="1" width="57.7109375" style="366" customWidth="1"/>
    <col min="2" max="2" width="9.28515625" style="366" bestFit="1" customWidth="1"/>
    <col min="3" max="3" width="8.85546875" style="366"/>
    <col min="4" max="4" width="9.28515625" style="366" bestFit="1" customWidth="1"/>
    <col min="5" max="5" width="14.42578125" style="366" customWidth="1"/>
    <col min="6" max="16384" width="8.85546875" style="366"/>
  </cols>
  <sheetData>
    <row r="1" spans="1:8" s="420" customFormat="1" ht="17.100000000000001" customHeight="1">
      <c r="A1" s="1762" t="s">
        <v>775</v>
      </c>
      <c r="B1" s="1762"/>
      <c r="C1" s="1762"/>
      <c r="D1" s="1762"/>
      <c r="E1" s="1762"/>
    </row>
    <row r="2" spans="1:8" s="420" customFormat="1" ht="17.100000000000001" customHeight="1">
      <c r="A2" s="1763" t="s">
        <v>776</v>
      </c>
      <c r="B2" s="1763"/>
      <c r="C2" s="1763"/>
      <c r="D2" s="1763"/>
      <c r="E2" s="1763"/>
    </row>
    <row r="3" spans="1:8" s="420" customFormat="1" ht="17.100000000000001" customHeight="1" thickBot="1">
      <c r="A3" s="1764" t="s">
        <v>424</v>
      </c>
      <c r="B3" s="1764"/>
      <c r="C3" s="1764"/>
      <c r="D3" s="1764"/>
      <c r="E3" s="1764"/>
      <c r="F3" s="387"/>
      <c r="G3" s="387"/>
      <c r="H3" s="387"/>
    </row>
    <row r="4" spans="1:8">
      <c r="A4" s="1765" t="s">
        <v>158</v>
      </c>
      <c r="B4" s="421" t="s">
        <v>159</v>
      </c>
      <c r="C4" s="422" t="s">
        <v>7</v>
      </c>
      <c r="D4" s="423" t="s">
        <v>161</v>
      </c>
      <c r="E4" s="424" t="s">
        <v>147</v>
      </c>
    </row>
    <row r="5" spans="1:8">
      <c r="A5" s="1766"/>
      <c r="B5" s="425" t="s">
        <v>162</v>
      </c>
      <c r="C5" s="426" t="s">
        <v>160</v>
      </c>
      <c r="D5" s="427" t="s">
        <v>160</v>
      </c>
      <c r="E5" s="428" t="s">
        <v>155</v>
      </c>
    </row>
    <row r="6" spans="1:8">
      <c r="A6" s="1767" t="s">
        <v>777</v>
      </c>
      <c r="B6" s="1768"/>
      <c r="C6" s="1768"/>
      <c r="D6" s="1768"/>
      <c r="E6" s="1769"/>
    </row>
    <row r="7" spans="1:8">
      <c r="A7" s="429" t="s">
        <v>314</v>
      </c>
      <c r="B7" s="696">
        <v>400</v>
      </c>
      <c r="C7" s="430" t="s">
        <v>210</v>
      </c>
      <c r="D7" s="697">
        <v>5.01</v>
      </c>
      <c r="E7" s="431">
        <f>B7*D7</f>
        <v>2004</v>
      </c>
    </row>
    <row r="8" spans="1:8">
      <c r="A8" s="429" t="s">
        <v>778</v>
      </c>
      <c r="B8" s="696">
        <v>9.5</v>
      </c>
      <c r="C8" s="430" t="s">
        <v>779</v>
      </c>
      <c r="D8" s="697">
        <v>138.62</v>
      </c>
      <c r="E8" s="431">
        <f>B8*D8</f>
        <v>1316.89</v>
      </c>
    </row>
    <row r="9" spans="1:8">
      <c r="A9" s="429" t="s">
        <v>780</v>
      </c>
      <c r="B9" s="696">
        <v>0.3</v>
      </c>
      <c r="C9" s="430" t="s">
        <v>779</v>
      </c>
      <c r="D9" s="697">
        <v>74</v>
      </c>
      <c r="E9" s="431">
        <f>B9*D9</f>
        <v>22.2</v>
      </c>
    </row>
    <row r="10" spans="1:8">
      <c r="A10" s="432" t="s">
        <v>781</v>
      </c>
      <c r="B10" s="698">
        <v>40</v>
      </c>
      <c r="C10" s="433" t="s">
        <v>210</v>
      </c>
      <c r="D10" s="699">
        <v>4</v>
      </c>
      <c r="E10" s="431">
        <f>B10*D10</f>
        <v>160</v>
      </c>
    </row>
    <row r="11" spans="1:8" ht="15.75" thickBot="1">
      <c r="A11" s="434" t="s">
        <v>782</v>
      </c>
      <c r="B11" s="435"/>
      <c r="C11" s="435"/>
      <c r="D11" s="436"/>
      <c r="E11" s="700">
        <f>SUM(E7:E10)</f>
        <v>3503.09</v>
      </c>
    </row>
    <row r="12" spans="1:8" ht="8.1" customHeight="1" thickBot="1"/>
    <row r="13" spans="1:8">
      <c r="A13" s="1759" t="s">
        <v>783</v>
      </c>
      <c r="B13" s="1760"/>
      <c r="C13" s="1760"/>
      <c r="D13" s="1760"/>
      <c r="E13" s="1761"/>
    </row>
    <row r="14" spans="1:8">
      <c r="A14" s="429" t="s">
        <v>784</v>
      </c>
      <c r="B14" s="696">
        <v>200</v>
      </c>
      <c r="C14" s="430" t="s">
        <v>210</v>
      </c>
      <c r="D14" s="697">
        <v>7.46</v>
      </c>
      <c r="E14" s="431">
        <f t="shared" ref="E14:E19" si="0">B14*D14</f>
        <v>1492</v>
      </c>
    </row>
    <row r="15" spans="1:8">
      <c r="A15" s="429" t="s">
        <v>785</v>
      </c>
      <c r="B15" s="696">
        <v>100</v>
      </c>
      <c r="C15" s="430" t="s">
        <v>210</v>
      </c>
      <c r="D15" s="697">
        <v>4.25</v>
      </c>
      <c r="E15" s="431">
        <f t="shared" si="0"/>
        <v>425</v>
      </c>
    </row>
    <row r="16" spans="1:8">
      <c r="A16" s="437" t="s">
        <v>786</v>
      </c>
      <c r="B16" s="696">
        <v>0</v>
      </c>
      <c r="C16" s="430" t="s">
        <v>210</v>
      </c>
      <c r="D16" s="697">
        <v>0</v>
      </c>
      <c r="E16" s="438">
        <f t="shared" si="0"/>
        <v>0</v>
      </c>
    </row>
    <row r="17" spans="1:5">
      <c r="A17" s="429" t="s">
        <v>778</v>
      </c>
      <c r="B17" s="696">
        <v>9.5</v>
      </c>
      <c r="C17" s="430" t="s">
        <v>779</v>
      </c>
      <c r="D17" s="697">
        <v>138.62</v>
      </c>
      <c r="E17" s="431">
        <f t="shared" si="0"/>
        <v>1316.89</v>
      </c>
    </row>
    <row r="18" spans="1:5">
      <c r="A18" s="429" t="s">
        <v>780</v>
      </c>
      <c r="B18" s="696">
        <v>0.3</v>
      </c>
      <c r="C18" s="430" t="s">
        <v>779</v>
      </c>
      <c r="D18" s="697">
        <v>74</v>
      </c>
      <c r="E18" s="431">
        <f t="shared" si="0"/>
        <v>22.2</v>
      </c>
    </row>
    <row r="19" spans="1:5">
      <c r="A19" s="439" t="s">
        <v>781</v>
      </c>
      <c r="B19" s="701">
        <v>40</v>
      </c>
      <c r="C19" s="440" t="s">
        <v>210</v>
      </c>
      <c r="D19" s="702">
        <v>4</v>
      </c>
      <c r="E19" s="441">
        <f t="shared" si="0"/>
        <v>160</v>
      </c>
    </row>
    <row r="20" spans="1:5" ht="15.75" thickBot="1">
      <c r="A20" s="442" t="s">
        <v>787</v>
      </c>
      <c r="B20" s="443"/>
      <c r="C20" s="443"/>
      <c r="D20" s="444"/>
      <c r="E20" s="703">
        <f>SUM(E14:E19)</f>
        <v>3416.09</v>
      </c>
    </row>
    <row r="21" spans="1:5">
      <c r="A21" s="419" t="s">
        <v>788</v>
      </c>
    </row>
    <row r="22" spans="1:5" ht="8.1" customHeight="1" thickBot="1"/>
    <row r="23" spans="1:5">
      <c r="A23" s="1759" t="s">
        <v>789</v>
      </c>
      <c r="B23" s="1760"/>
      <c r="C23" s="1760"/>
      <c r="D23" s="1760"/>
      <c r="E23" s="1761"/>
    </row>
    <row r="24" spans="1:5">
      <c r="A24" s="445" t="s">
        <v>790</v>
      </c>
      <c r="B24" s="704">
        <v>250</v>
      </c>
      <c r="C24" s="446" t="s">
        <v>210</v>
      </c>
      <c r="D24" s="705">
        <v>6</v>
      </c>
      <c r="E24" s="447">
        <f>B24*D24</f>
        <v>1500</v>
      </c>
    </row>
    <row r="25" spans="1:5">
      <c r="A25" s="429" t="s">
        <v>791</v>
      </c>
      <c r="B25" s="706">
        <v>1</v>
      </c>
      <c r="C25" s="430" t="s">
        <v>792</v>
      </c>
      <c r="D25" s="697">
        <v>28.84</v>
      </c>
      <c r="E25" s="431">
        <f>B25*D25</f>
        <v>28.84</v>
      </c>
    </row>
    <row r="26" spans="1:5">
      <c r="A26" s="448" t="s">
        <v>781</v>
      </c>
      <c r="B26" s="707">
        <v>40</v>
      </c>
      <c r="C26" s="449" t="s">
        <v>210</v>
      </c>
      <c r="D26" s="708">
        <v>4</v>
      </c>
      <c r="E26" s="441">
        <f>B26*D26</f>
        <v>160</v>
      </c>
    </row>
    <row r="27" spans="1:5" ht="15.75" thickBot="1">
      <c r="A27" s="450" t="s">
        <v>793</v>
      </c>
      <c r="B27" s="443"/>
      <c r="C27" s="443"/>
      <c r="D27" s="444"/>
      <c r="E27" s="703">
        <f>SUM(E24:E26)</f>
        <v>1688.84</v>
      </c>
    </row>
    <row r="28" spans="1:5" ht="8.1" customHeight="1" thickBot="1"/>
    <row r="29" spans="1:5">
      <c r="A29" s="1759" t="s">
        <v>794</v>
      </c>
      <c r="B29" s="1760"/>
      <c r="C29" s="1760"/>
      <c r="D29" s="1760"/>
      <c r="E29" s="1761"/>
    </row>
    <row r="30" spans="1:5">
      <c r="A30" s="445" t="s">
        <v>795</v>
      </c>
      <c r="B30" s="709">
        <v>40</v>
      </c>
      <c r="C30" s="451" t="s">
        <v>210</v>
      </c>
      <c r="D30" s="705">
        <v>7.46</v>
      </c>
      <c r="E30" s="447">
        <f>B30*D30</f>
        <v>298.39999999999998</v>
      </c>
    </row>
    <row r="31" spans="1:5">
      <c r="A31" s="429" t="s">
        <v>796</v>
      </c>
      <c r="B31" s="710">
        <v>140</v>
      </c>
      <c r="C31" s="430" t="s">
        <v>210</v>
      </c>
      <c r="D31" s="697">
        <v>7.25</v>
      </c>
      <c r="E31" s="431">
        <f t="shared" ref="E31:E45" si="1">B31*D31</f>
        <v>1015</v>
      </c>
    </row>
    <row r="32" spans="1:5">
      <c r="A32" s="429" t="s">
        <v>797</v>
      </c>
      <c r="B32" s="710">
        <v>140</v>
      </c>
      <c r="C32" s="430" t="s">
        <v>210</v>
      </c>
      <c r="D32" s="697">
        <v>7</v>
      </c>
      <c r="E32" s="431">
        <f t="shared" si="1"/>
        <v>980</v>
      </c>
    </row>
    <row r="33" spans="1:5" ht="15" customHeight="1">
      <c r="A33" s="429" t="s">
        <v>798</v>
      </c>
      <c r="B33" s="710">
        <v>140</v>
      </c>
      <c r="C33" s="430" t="s">
        <v>210</v>
      </c>
      <c r="D33" s="697">
        <f>8/50</f>
        <v>0.16</v>
      </c>
      <c r="E33" s="431">
        <f t="shared" si="1"/>
        <v>22.400000000000002</v>
      </c>
    </row>
    <row r="34" spans="1:5">
      <c r="A34" s="429" t="s">
        <v>799</v>
      </c>
      <c r="B34" s="710">
        <v>40</v>
      </c>
      <c r="C34" s="430" t="s">
        <v>210</v>
      </c>
      <c r="D34" s="697">
        <f>15/50</f>
        <v>0.3</v>
      </c>
      <c r="E34" s="431">
        <f t="shared" si="1"/>
        <v>12</v>
      </c>
    </row>
    <row r="35" spans="1:5">
      <c r="A35" s="429" t="s">
        <v>800</v>
      </c>
      <c r="B35" s="710">
        <v>40</v>
      </c>
      <c r="C35" s="430" t="s">
        <v>210</v>
      </c>
      <c r="D35" s="697">
        <f>9.68/50</f>
        <v>0.19359999999999999</v>
      </c>
      <c r="E35" s="431">
        <f t="shared" si="1"/>
        <v>7.7439999999999998</v>
      </c>
    </row>
    <row r="36" spans="1:5">
      <c r="A36" s="429" t="s">
        <v>801</v>
      </c>
      <c r="B36" s="710">
        <v>220</v>
      </c>
      <c r="C36" s="430" t="s">
        <v>210</v>
      </c>
      <c r="D36" s="697">
        <f>6.97/100</f>
        <v>6.9699999999999998E-2</v>
      </c>
      <c r="E36" s="431">
        <f t="shared" si="1"/>
        <v>15.334</v>
      </c>
    </row>
    <row r="37" spans="1:5">
      <c r="A37" s="429" t="s">
        <v>802</v>
      </c>
      <c r="B37" s="710">
        <v>1080</v>
      </c>
      <c r="C37" s="430" t="s">
        <v>210</v>
      </c>
      <c r="D37" s="697">
        <f>5/100</f>
        <v>0.05</v>
      </c>
      <c r="E37" s="431">
        <f t="shared" si="1"/>
        <v>54</v>
      </c>
    </row>
    <row r="38" spans="1:5">
      <c r="A38" s="429" t="s">
        <v>803</v>
      </c>
      <c r="B38" s="710">
        <v>280</v>
      </c>
      <c r="C38" s="430" t="s">
        <v>210</v>
      </c>
      <c r="D38" s="697">
        <v>0.246</v>
      </c>
      <c r="E38" s="431">
        <f t="shared" si="1"/>
        <v>68.88</v>
      </c>
    </row>
    <row r="39" spans="1:5">
      <c r="A39" s="429" t="s">
        <v>804</v>
      </c>
      <c r="B39" s="710">
        <v>280</v>
      </c>
      <c r="C39" s="430" t="s">
        <v>210</v>
      </c>
      <c r="D39" s="697">
        <f>4.29/100</f>
        <v>4.2900000000000001E-2</v>
      </c>
      <c r="E39" s="431">
        <f t="shared" si="1"/>
        <v>12.012</v>
      </c>
    </row>
    <row r="40" spans="1:5">
      <c r="A40" s="429" t="s">
        <v>805</v>
      </c>
      <c r="B40" s="710">
        <v>840</v>
      </c>
      <c r="C40" s="430" t="s">
        <v>806</v>
      </c>
      <c r="D40" s="697">
        <f>10.95/100</f>
        <v>0.10949999999999999</v>
      </c>
      <c r="E40" s="431">
        <f t="shared" si="1"/>
        <v>91.97999999999999</v>
      </c>
    </row>
    <row r="41" spans="1:5">
      <c r="A41" s="429" t="s">
        <v>807</v>
      </c>
      <c r="B41" s="710">
        <v>420</v>
      </c>
      <c r="C41" s="430" t="s">
        <v>210</v>
      </c>
      <c r="D41" s="711">
        <v>0.17</v>
      </c>
      <c r="E41" s="431">
        <f t="shared" si="1"/>
        <v>71.400000000000006</v>
      </c>
    </row>
    <row r="42" spans="1:5">
      <c r="A42" s="429" t="s">
        <v>808</v>
      </c>
      <c r="B42" s="710">
        <v>600</v>
      </c>
      <c r="C42" s="430" t="s">
        <v>210</v>
      </c>
      <c r="D42" s="697">
        <f>14.65/100</f>
        <v>0.14649999999999999</v>
      </c>
      <c r="E42" s="431">
        <f t="shared" si="1"/>
        <v>87.899999999999991</v>
      </c>
    </row>
    <row r="43" spans="1:5">
      <c r="A43" s="429" t="s">
        <v>780</v>
      </c>
      <c r="B43" s="706">
        <v>0.3</v>
      </c>
      <c r="C43" s="430" t="s">
        <v>779</v>
      </c>
      <c r="D43" s="697">
        <v>74</v>
      </c>
      <c r="E43" s="431">
        <f t="shared" si="1"/>
        <v>22.2</v>
      </c>
    </row>
    <row r="44" spans="1:5">
      <c r="A44" s="452" t="s">
        <v>809</v>
      </c>
      <c r="B44" s="712">
        <v>9</v>
      </c>
      <c r="C44" s="430" t="s">
        <v>779</v>
      </c>
      <c r="D44" s="713">
        <v>159.94999999999999</v>
      </c>
      <c r="E44" s="431">
        <f t="shared" si="1"/>
        <v>1439.55</v>
      </c>
    </row>
    <row r="45" spans="1:5">
      <c r="A45" s="453" t="s">
        <v>810</v>
      </c>
      <c r="B45" s="714">
        <v>140</v>
      </c>
      <c r="C45" s="454" t="s">
        <v>210</v>
      </c>
      <c r="D45" s="715">
        <f>15/100</f>
        <v>0.15</v>
      </c>
      <c r="E45" s="441">
        <f t="shared" si="1"/>
        <v>21</v>
      </c>
    </row>
    <row r="46" spans="1:5" ht="15.75" thickBot="1">
      <c r="A46" s="442" t="s">
        <v>811</v>
      </c>
      <c r="B46" s="443"/>
      <c r="C46" s="443"/>
      <c r="D46" s="444"/>
      <c r="E46" s="703">
        <f>SUM(E30:E45)</f>
        <v>4219.8</v>
      </c>
    </row>
  </sheetData>
  <mergeCells count="8">
    <mergeCell ref="A23:E23"/>
    <mergeCell ref="A29:E29"/>
    <mergeCell ref="A1:E1"/>
    <mergeCell ref="A2:E2"/>
    <mergeCell ref="A3:E3"/>
    <mergeCell ref="A4:A5"/>
    <mergeCell ref="A6:E6"/>
    <mergeCell ref="A13:E13"/>
  </mergeCells>
  <pageMargins left="0.4" right="0.26" top="0.75" bottom="0.75" header="0.3" footer="0.3"/>
  <pageSetup orientation="portrait"/>
  <headerFooter alignWithMargins="0"/>
</worksheet>
</file>

<file path=xl/worksheets/sheet25.xml><?xml version="1.0" encoding="utf-8"?>
<worksheet xmlns="http://schemas.openxmlformats.org/spreadsheetml/2006/main" xmlns:r="http://schemas.openxmlformats.org/officeDocument/2006/relationships">
  <sheetPr enableFormatConditionsCalculation="0">
    <tabColor theme="7"/>
  </sheetPr>
  <dimension ref="A1:AB116"/>
  <sheetViews>
    <sheetView topLeftCell="A19" workbookViewId="0">
      <selection activeCell="H52" sqref="H52:I52"/>
    </sheetView>
  </sheetViews>
  <sheetFormatPr defaultColWidth="8.85546875" defaultRowHeight="15"/>
  <cols>
    <col min="1" max="3" width="8.85546875" style="366"/>
    <col min="4" max="5" width="9.140625" style="366" customWidth="1"/>
    <col min="6" max="6" width="7.7109375" style="366" customWidth="1"/>
    <col min="7" max="7" width="6.7109375" style="366" customWidth="1"/>
    <col min="8" max="8" width="8.7109375" style="366" customWidth="1"/>
    <col min="9" max="10" width="5.7109375" style="366" customWidth="1"/>
    <col min="11" max="13" width="8.85546875" style="366" customWidth="1"/>
    <col min="14" max="14" width="8.7109375" style="366" customWidth="1"/>
    <col min="15" max="15" width="9.7109375" style="366" customWidth="1"/>
    <col min="16" max="16384" width="8.85546875" style="366"/>
  </cols>
  <sheetData>
    <row r="1" spans="1:15">
      <c r="A1" s="1770" t="s">
        <v>812</v>
      </c>
      <c r="B1" s="1770"/>
      <c r="C1" s="1770"/>
      <c r="D1" s="1770"/>
      <c r="E1" s="1770"/>
      <c r="F1" s="1770"/>
      <c r="G1" s="1770"/>
      <c r="H1" s="1770"/>
      <c r="I1" s="1770"/>
      <c r="J1" s="1770"/>
      <c r="K1" s="1770"/>
      <c r="L1" s="1770"/>
      <c r="M1" s="1770"/>
      <c r="N1" s="1770"/>
      <c r="O1" s="1770"/>
    </row>
    <row r="2" spans="1:15" ht="15.75" thickBot="1">
      <c r="A2" s="455"/>
      <c r="B2" s="368"/>
      <c r="C2" s="368"/>
      <c r="D2" s="368"/>
      <c r="E2" s="368"/>
      <c r="F2" s="368"/>
      <c r="G2" s="368"/>
      <c r="H2" s="368"/>
      <c r="I2" s="368"/>
      <c r="J2" s="368"/>
      <c r="K2" s="368"/>
      <c r="L2" s="368"/>
      <c r="M2" s="368"/>
      <c r="N2" s="368"/>
      <c r="O2" s="368"/>
    </row>
    <row r="3" spans="1:15">
      <c r="A3" s="1771" t="s">
        <v>777</v>
      </c>
      <c r="B3" s="1772"/>
      <c r="C3" s="1772"/>
      <c r="D3" s="1772"/>
      <c r="E3" s="1772"/>
      <c r="F3" s="1772"/>
      <c r="G3" s="1772"/>
      <c r="H3" s="1773" t="s">
        <v>813</v>
      </c>
      <c r="I3" s="1774"/>
      <c r="J3" s="1774"/>
      <c r="K3" s="1774"/>
      <c r="L3" s="1774"/>
      <c r="M3" s="1774"/>
      <c r="N3" s="1774"/>
      <c r="O3" s="1775"/>
    </row>
    <row r="4" spans="1:15">
      <c r="A4" s="1776"/>
      <c r="B4" s="1777"/>
      <c r="C4" s="716" t="s">
        <v>814</v>
      </c>
      <c r="D4" s="716" t="s">
        <v>815</v>
      </c>
      <c r="E4" s="717" t="s">
        <v>146</v>
      </c>
      <c r="F4" s="1778" t="s">
        <v>44</v>
      </c>
      <c r="G4" s="1779"/>
      <c r="H4" s="1780"/>
      <c r="I4" s="1781"/>
      <c r="J4" s="1782"/>
      <c r="K4" s="716" t="s">
        <v>814</v>
      </c>
      <c r="L4" s="718" t="s">
        <v>158</v>
      </c>
      <c r="M4" s="719" t="s">
        <v>146</v>
      </c>
      <c r="N4" s="1783" t="s">
        <v>44</v>
      </c>
      <c r="O4" s="1784"/>
    </row>
    <row r="5" spans="1:15">
      <c r="A5" s="1785"/>
      <c r="B5" s="1786"/>
      <c r="C5" s="720" t="s">
        <v>249</v>
      </c>
      <c r="D5" s="720" t="s">
        <v>816</v>
      </c>
      <c r="E5" s="721" t="s">
        <v>249</v>
      </c>
      <c r="F5" s="1787" t="s">
        <v>155</v>
      </c>
      <c r="G5" s="1788"/>
      <c r="H5" s="1789"/>
      <c r="I5" s="1790"/>
      <c r="J5" s="1791"/>
      <c r="K5" s="720" t="s">
        <v>249</v>
      </c>
      <c r="L5" s="722" t="s">
        <v>249</v>
      </c>
      <c r="M5" s="719" t="s">
        <v>249</v>
      </c>
      <c r="N5" s="1792" t="s">
        <v>155</v>
      </c>
      <c r="O5" s="1793"/>
    </row>
    <row r="6" spans="1:15">
      <c r="A6" s="1794" t="s">
        <v>156</v>
      </c>
      <c r="B6" s="1795"/>
      <c r="C6" s="456">
        <f>G31</f>
        <v>3.8602604166666667</v>
      </c>
      <c r="D6" s="457">
        <f>K31</f>
        <v>3503.09</v>
      </c>
      <c r="E6" s="458">
        <f>N31</f>
        <v>450.64330461538464</v>
      </c>
      <c r="F6" s="1796">
        <f>O31</f>
        <v>3960.0860611858971</v>
      </c>
      <c r="G6" s="1797"/>
      <c r="H6" s="1798" t="s">
        <v>156</v>
      </c>
      <c r="I6" s="1799"/>
      <c r="J6" s="1800"/>
      <c r="K6" s="459">
        <f>G52</f>
        <v>258.10553661246172</v>
      </c>
      <c r="L6" s="460">
        <f>K52</f>
        <v>3416.09</v>
      </c>
      <c r="M6" s="459">
        <f>N52</f>
        <v>1214.6432256923079</v>
      </c>
      <c r="N6" s="1796">
        <f>O52</f>
        <v>4891.3312584586147</v>
      </c>
      <c r="O6" s="1801"/>
    </row>
    <row r="7" spans="1:15">
      <c r="A7" s="1794" t="s">
        <v>157</v>
      </c>
      <c r="B7" s="1795"/>
      <c r="C7" s="456">
        <f>G34</f>
        <v>0</v>
      </c>
      <c r="D7" s="457">
        <f>K34</f>
        <v>0</v>
      </c>
      <c r="E7" s="458">
        <f>N34</f>
        <v>99.699846153846167</v>
      </c>
      <c r="F7" s="1796">
        <f>O34</f>
        <v>99.699846153846167</v>
      </c>
      <c r="G7" s="1797"/>
      <c r="H7" s="1798" t="s">
        <v>157</v>
      </c>
      <c r="I7" s="1799"/>
      <c r="J7" s="1800"/>
      <c r="K7" s="459">
        <f>G55</f>
        <v>0</v>
      </c>
      <c r="L7" s="460">
        <f>K55</f>
        <v>0</v>
      </c>
      <c r="M7" s="459">
        <f>N55</f>
        <v>99.699846153846167</v>
      </c>
      <c r="N7" s="1796">
        <f>O55</f>
        <v>99.699846153846167</v>
      </c>
      <c r="O7" s="1801"/>
    </row>
    <row r="8" spans="1:15" ht="15.75" thickBot="1">
      <c r="A8" s="1802" t="s">
        <v>817</v>
      </c>
      <c r="B8" s="1803"/>
      <c r="C8" s="461">
        <f>G37</f>
        <v>0</v>
      </c>
      <c r="D8" s="462">
        <f>K37</f>
        <v>0</v>
      </c>
      <c r="E8" s="463">
        <f>N37</f>
        <v>99.699846153846167</v>
      </c>
      <c r="F8" s="1804">
        <f>O37</f>
        <v>99.699846153846167</v>
      </c>
      <c r="G8" s="1805"/>
      <c r="H8" s="1806" t="s">
        <v>817</v>
      </c>
      <c r="I8" s="1807"/>
      <c r="J8" s="1808"/>
      <c r="K8" s="464">
        <f>G58</f>
        <v>0</v>
      </c>
      <c r="L8" s="465">
        <f>K58</f>
        <v>0</v>
      </c>
      <c r="M8" s="466">
        <f>N58</f>
        <v>99.699846153846167</v>
      </c>
      <c r="N8" s="1804">
        <f>O58</f>
        <v>99.699846153846167</v>
      </c>
      <c r="O8" s="1809"/>
    </row>
    <row r="9" spans="1:15" ht="15.75" thickBot="1">
      <c r="A9" s="1810" t="s">
        <v>818</v>
      </c>
      <c r="B9" s="1811"/>
      <c r="C9" s="467">
        <f>SUM(C6:C8)</f>
        <v>3.8602604166666667</v>
      </c>
      <c r="D9" s="468">
        <f>SUM(D6:D8)</f>
        <v>3503.09</v>
      </c>
      <c r="E9" s="468">
        <f>SUM(E6:E8)</f>
        <v>650.04299692307688</v>
      </c>
      <c r="F9" s="1812">
        <f>SUM(F6:F8)</f>
        <v>4159.4857534935891</v>
      </c>
      <c r="G9" s="1813"/>
      <c r="H9" s="1814" t="s">
        <v>818</v>
      </c>
      <c r="I9" s="1815"/>
      <c r="J9" s="1816"/>
      <c r="K9" s="469">
        <f>SUM(K6:K8)</f>
        <v>258.10553661246172</v>
      </c>
      <c r="L9" s="468">
        <f>SUM(L6:L8)</f>
        <v>3416.09</v>
      </c>
      <c r="M9" s="468">
        <f>SUM(M6:M8)</f>
        <v>1414.0429180000003</v>
      </c>
      <c r="N9" s="1812">
        <f>SUM(N6:N8)</f>
        <v>5090.7309507663067</v>
      </c>
      <c r="O9" s="1817"/>
    </row>
    <row r="10" spans="1:15">
      <c r="A10" s="455"/>
      <c r="B10" s="368"/>
      <c r="C10" s="368"/>
      <c r="D10" s="368"/>
      <c r="E10" s="368"/>
      <c r="F10" s="368"/>
      <c r="G10" s="368"/>
      <c r="H10" s="368"/>
      <c r="I10" s="368"/>
      <c r="J10" s="368"/>
      <c r="K10" s="368"/>
      <c r="L10" s="368"/>
      <c r="M10" s="368"/>
      <c r="N10" s="368"/>
      <c r="O10" s="368"/>
    </row>
    <row r="11" spans="1:15" ht="15.75" thickBot="1">
      <c r="A11" s="455"/>
      <c r="B11" s="368"/>
      <c r="C11" s="368"/>
      <c r="D11" s="368"/>
      <c r="E11" s="368"/>
      <c r="F11" s="368"/>
      <c r="G11" s="368"/>
      <c r="H11" s="368"/>
      <c r="I11" s="368"/>
      <c r="J11" s="368"/>
      <c r="K11" s="368"/>
      <c r="L11" s="368"/>
      <c r="M11" s="368"/>
      <c r="N11" s="368"/>
      <c r="O11" s="368"/>
    </row>
    <row r="12" spans="1:15">
      <c r="A12" s="1818" t="s">
        <v>789</v>
      </c>
      <c r="B12" s="1774"/>
      <c r="C12" s="1774"/>
      <c r="D12" s="1774"/>
      <c r="E12" s="1774"/>
      <c r="F12" s="1774"/>
      <c r="G12" s="1819"/>
      <c r="H12" s="1773" t="s">
        <v>819</v>
      </c>
      <c r="I12" s="1774"/>
      <c r="J12" s="1774"/>
      <c r="K12" s="1774"/>
      <c r="L12" s="1774"/>
      <c r="M12" s="1774"/>
      <c r="N12" s="1774"/>
      <c r="O12" s="1775"/>
    </row>
    <row r="13" spans="1:15">
      <c r="A13" s="1776"/>
      <c r="B13" s="1777"/>
      <c r="C13" s="716" t="s">
        <v>814</v>
      </c>
      <c r="D13" s="716" t="s">
        <v>815</v>
      </c>
      <c r="E13" s="717" t="s">
        <v>146</v>
      </c>
      <c r="F13" s="1778" t="s">
        <v>44</v>
      </c>
      <c r="G13" s="1779"/>
      <c r="H13" s="1789"/>
      <c r="I13" s="1790"/>
      <c r="J13" s="1791"/>
      <c r="K13" s="723" t="s">
        <v>814</v>
      </c>
      <c r="L13" s="724" t="s">
        <v>158</v>
      </c>
      <c r="M13" s="719" t="s">
        <v>146</v>
      </c>
      <c r="N13" s="1820" t="s">
        <v>44</v>
      </c>
      <c r="O13" s="1821"/>
    </row>
    <row r="14" spans="1:15">
      <c r="A14" s="1785"/>
      <c r="B14" s="1786"/>
      <c r="C14" s="720" t="s">
        <v>249</v>
      </c>
      <c r="D14" s="720" t="s">
        <v>816</v>
      </c>
      <c r="E14" s="721" t="s">
        <v>249</v>
      </c>
      <c r="F14" s="1787" t="s">
        <v>155</v>
      </c>
      <c r="G14" s="1788"/>
      <c r="H14" s="1789"/>
      <c r="I14" s="1790"/>
      <c r="J14" s="1791"/>
      <c r="K14" s="720" t="s">
        <v>249</v>
      </c>
      <c r="L14" s="722" t="s">
        <v>249</v>
      </c>
      <c r="M14" s="719" t="s">
        <v>249</v>
      </c>
      <c r="N14" s="1792" t="s">
        <v>155</v>
      </c>
      <c r="O14" s="1793"/>
    </row>
    <row r="15" spans="1:15">
      <c r="A15" s="1794" t="s">
        <v>156</v>
      </c>
      <c r="B15" s="1795"/>
      <c r="C15" s="456">
        <f>G69</f>
        <v>3.8602604166666667</v>
      </c>
      <c r="D15" s="457">
        <f>K69</f>
        <v>1688.84</v>
      </c>
      <c r="E15" s="458">
        <f>N69</f>
        <v>231.80432307692308</v>
      </c>
      <c r="F15" s="1796">
        <f>O69</f>
        <v>1926.9970796474361</v>
      </c>
      <c r="G15" s="1797"/>
      <c r="H15" s="1798" t="s">
        <v>156</v>
      </c>
      <c r="I15" s="1799"/>
      <c r="J15" s="1800"/>
      <c r="K15" s="459">
        <f>G91</f>
        <v>222.77914461916669</v>
      </c>
      <c r="L15" s="460">
        <f>K91</f>
        <v>4219.8</v>
      </c>
      <c r="M15" s="459">
        <f>N91</f>
        <v>1515.4376615384617</v>
      </c>
      <c r="N15" s="1796">
        <f>O91</f>
        <v>6107.5665753883977</v>
      </c>
      <c r="O15" s="1801"/>
    </row>
    <row r="16" spans="1:15">
      <c r="A16" s="1794" t="s">
        <v>157</v>
      </c>
      <c r="B16" s="1795"/>
      <c r="C16" s="456">
        <f>G72</f>
        <v>0</v>
      </c>
      <c r="D16" s="457">
        <f>K72</f>
        <v>0</v>
      </c>
      <c r="E16" s="458">
        <f>N72</f>
        <v>99.699846153846167</v>
      </c>
      <c r="F16" s="1796">
        <f>O72</f>
        <v>99.699846153846167</v>
      </c>
      <c r="G16" s="1797"/>
      <c r="H16" s="1798" t="s">
        <v>157</v>
      </c>
      <c r="I16" s="1799"/>
      <c r="J16" s="1800"/>
      <c r="K16" s="459">
        <f>G96</f>
        <v>0</v>
      </c>
      <c r="L16" s="460">
        <f>K96</f>
        <v>0</v>
      </c>
      <c r="M16" s="459">
        <f>N96</f>
        <v>598.19907692307697</v>
      </c>
      <c r="N16" s="1796">
        <f>O96</f>
        <v>598.19907692307697</v>
      </c>
      <c r="O16" s="1801"/>
    </row>
    <row r="17" spans="1:28" ht="15.75" thickBot="1">
      <c r="A17" s="1802" t="s">
        <v>817</v>
      </c>
      <c r="B17" s="1803"/>
      <c r="C17" s="461">
        <f>G75</f>
        <v>0</v>
      </c>
      <c r="D17" s="462">
        <f>K75</f>
        <v>0</v>
      </c>
      <c r="E17" s="463">
        <f>N75</f>
        <v>99.699846153846167</v>
      </c>
      <c r="F17" s="1804">
        <f>O75</f>
        <v>99.699846153846167</v>
      </c>
      <c r="G17" s="1805"/>
      <c r="H17" s="1806" t="s">
        <v>817</v>
      </c>
      <c r="I17" s="1807"/>
      <c r="J17" s="1808"/>
      <c r="K17" s="464">
        <f>G101</f>
        <v>0</v>
      </c>
      <c r="L17" s="465">
        <f>K101</f>
        <v>0</v>
      </c>
      <c r="M17" s="466">
        <f>N101</f>
        <v>598.19907692307697</v>
      </c>
      <c r="N17" s="1804">
        <f>O101</f>
        <v>598.19907692307697</v>
      </c>
      <c r="O17" s="1809"/>
    </row>
    <row r="18" spans="1:28" ht="15.75" thickBot="1">
      <c r="A18" s="1810" t="s">
        <v>818</v>
      </c>
      <c r="B18" s="1811"/>
      <c r="C18" s="467">
        <f>SUM(C15:C17)</f>
        <v>3.8602604166666667</v>
      </c>
      <c r="D18" s="468">
        <f>SUM(D15:D17)</f>
        <v>1688.84</v>
      </c>
      <c r="E18" s="468">
        <f>SUM(E15:E17)</f>
        <v>431.20401538461545</v>
      </c>
      <c r="F18" s="1812">
        <f>SUM(F15:F17)</f>
        <v>2126.3967719551283</v>
      </c>
      <c r="G18" s="1813"/>
      <c r="H18" s="1814" t="s">
        <v>818</v>
      </c>
      <c r="I18" s="1815"/>
      <c r="J18" s="1816"/>
      <c r="K18" s="469">
        <f>SUM(K15:K17)</f>
        <v>222.77914461916669</v>
      </c>
      <c r="L18" s="468">
        <f>SUM(L15:L17)</f>
        <v>4219.8</v>
      </c>
      <c r="M18" s="468">
        <f>SUM(M15:M17)</f>
        <v>2711.8358153846157</v>
      </c>
      <c r="N18" s="1812">
        <f>SUM(N15:N17)</f>
        <v>7303.9647292345517</v>
      </c>
      <c r="O18" s="1817"/>
    </row>
    <row r="19" spans="1:28" ht="15.75" thickBot="1">
      <c r="A19" s="420"/>
    </row>
    <row r="20" spans="1:28" ht="18.75" customHeight="1" thickBot="1">
      <c r="A20" s="1822" t="s">
        <v>777</v>
      </c>
      <c r="B20" s="1823"/>
      <c r="C20" s="1823"/>
      <c r="D20" s="1823"/>
      <c r="E20" s="1823"/>
      <c r="F20" s="1823"/>
      <c r="G20" s="1823"/>
      <c r="H20" s="1823"/>
      <c r="I20" s="1823"/>
      <c r="J20" s="1823"/>
      <c r="K20" s="1823"/>
      <c r="L20" s="1823"/>
      <c r="M20" s="1823"/>
      <c r="N20" s="1823"/>
      <c r="O20" s="1824"/>
    </row>
    <row r="21" spans="1:28" ht="15" customHeight="1">
      <c r="A21" s="1825" t="s">
        <v>424</v>
      </c>
      <c r="B21" s="1825"/>
      <c r="C21" s="1825"/>
      <c r="D21" s="1825"/>
      <c r="E21" s="1825"/>
      <c r="F21" s="1825"/>
      <c r="G21" s="1825"/>
      <c r="H21" s="1825"/>
      <c r="I21" s="1825"/>
      <c r="J21" s="1825"/>
      <c r="K21" s="1825"/>
      <c r="L21" s="1825"/>
      <c r="M21" s="1825"/>
      <c r="N21" s="1825"/>
      <c r="O21" s="1825"/>
    </row>
    <row r="22" spans="1:28" ht="15" customHeight="1">
      <c r="A22" s="470"/>
      <c r="B22" s="470"/>
      <c r="C22" s="470"/>
      <c r="D22" s="470"/>
      <c r="E22" s="470"/>
      <c r="F22" s="470"/>
      <c r="G22" s="470"/>
      <c r="H22" s="470"/>
      <c r="I22" s="470"/>
      <c r="J22" s="470"/>
      <c r="K22" s="470"/>
      <c r="L22" s="470"/>
      <c r="M22" s="470"/>
      <c r="N22" s="470"/>
      <c r="O22" s="470"/>
    </row>
    <row r="23" spans="1:28">
      <c r="A23" s="471" t="s">
        <v>533</v>
      </c>
      <c r="B23" s="472"/>
      <c r="C23" s="473"/>
      <c r="D23" s="474"/>
      <c r="E23" s="1826" t="s">
        <v>820</v>
      </c>
      <c r="F23" s="1826"/>
      <c r="G23" s="1826"/>
      <c r="H23" s="1826" t="s">
        <v>821</v>
      </c>
      <c r="I23" s="1826"/>
      <c r="J23" s="1826"/>
      <c r="K23" s="1826"/>
      <c r="L23" s="1826" t="s">
        <v>822</v>
      </c>
      <c r="M23" s="1826"/>
      <c r="N23" s="1826"/>
      <c r="O23" s="678" t="s">
        <v>155</v>
      </c>
      <c r="P23" s="366" t="s">
        <v>7</v>
      </c>
    </row>
    <row r="24" spans="1:28">
      <c r="A24" s="475"/>
      <c r="B24" s="1827" t="s">
        <v>823</v>
      </c>
      <c r="C24" s="1827"/>
      <c r="D24" s="1828"/>
      <c r="E24" s="476" t="s">
        <v>15</v>
      </c>
      <c r="F24" s="476" t="s">
        <v>16</v>
      </c>
      <c r="G24" s="476" t="s">
        <v>17</v>
      </c>
      <c r="H24" s="476" t="s">
        <v>18</v>
      </c>
      <c r="I24" s="476" t="s">
        <v>19</v>
      </c>
      <c r="J24" s="476" t="s">
        <v>267</v>
      </c>
      <c r="K24" s="476" t="s">
        <v>21</v>
      </c>
      <c r="L24" s="476" t="s">
        <v>15</v>
      </c>
      <c r="M24" s="476" t="s">
        <v>16</v>
      </c>
      <c r="N24" s="476" t="s">
        <v>22</v>
      </c>
      <c r="O24" s="477" t="s">
        <v>13</v>
      </c>
      <c r="P24" s="478" t="s">
        <v>7</v>
      </c>
    </row>
    <row r="25" spans="1:28">
      <c r="A25" s="479" t="s">
        <v>156</v>
      </c>
      <c r="B25" s="474"/>
      <c r="C25" s="474"/>
      <c r="D25" s="480"/>
      <c r="E25" s="481"/>
      <c r="F25" s="481"/>
      <c r="G25" s="482"/>
      <c r="H25" s="483"/>
      <c r="I25" s="484"/>
      <c r="J25" s="485"/>
      <c r="K25" s="486"/>
      <c r="L25" s="481"/>
      <c r="M25" s="487"/>
      <c r="N25" s="488"/>
      <c r="O25" s="489"/>
      <c r="P25" s="490"/>
    </row>
    <row r="26" spans="1:28" s="501" customFormat="1">
      <c r="A26" s="491"/>
      <c r="B26" s="1829" t="s">
        <v>824</v>
      </c>
      <c r="C26" s="1829"/>
      <c r="D26" s="1830"/>
      <c r="E26" s="492"/>
      <c r="F26" s="493"/>
      <c r="G26" s="493"/>
      <c r="H26" s="494">
        <f>'Trellis Materials '!E11</f>
        <v>3503.09</v>
      </c>
      <c r="I26" s="495" t="s">
        <v>825</v>
      </c>
      <c r="J26" s="725">
        <v>1</v>
      </c>
      <c r="K26" s="496">
        <f>H26*J26</f>
        <v>3503.09</v>
      </c>
      <c r="L26" s="726">
        <v>1</v>
      </c>
      <c r="M26" s="497">
        <f>'Trellis Labor'!H52</f>
        <v>9.9699846153846163</v>
      </c>
      <c r="N26" s="498">
        <f>L26*M26</f>
        <v>9.9699846153846163</v>
      </c>
      <c r="O26" s="499">
        <f>G26+K26+N26</f>
        <v>3513.0599846153846</v>
      </c>
      <c r="P26" s="500"/>
      <c r="AA26" s="366"/>
      <c r="AB26" s="366"/>
    </row>
    <row r="27" spans="1:28" s="501" customFormat="1">
      <c r="A27" s="491"/>
      <c r="B27" s="1831" t="s">
        <v>826</v>
      </c>
      <c r="C27" s="1831"/>
      <c r="D27" s="1832"/>
      <c r="E27" s="504"/>
      <c r="F27" s="505"/>
      <c r="G27" s="506"/>
      <c r="H27" s="507"/>
      <c r="I27" s="508"/>
      <c r="J27" s="509"/>
      <c r="K27" s="510"/>
      <c r="L27" s="727">
        <v>5</v>
      </c>
      <c r="M27" s="497">
        <f>'Trellis Labor'!H52</f>
        <v>9.9699846153846163</v>
      </c>
      <c r="N27" s="498">
        <f>L27*M27</f>
        <v>49.849923076923083</v>
      </c>
      <c r="O27" s="499">
        <f>G27+K27+N27</f>
        <v>49.849923076923083</v>
      </c>
      <c r="P27" s="500"/>
      <c r="AA27" s="511"/>
      <c r="AB27" s="366"/>
    </row>
    <row r="28" spans="1:28" s="501" customFormat="1">
      <c r="A28" s="491"/>
      <c r="B28" s="1831" t="s">
        <v>827</v>
      </c>
      <c r="C28" s="1831"/>
      <c r="D28" s="1832"/>
      <c r="E28" s="512"/>
      <c r="F28" s="505"/>
      <c r="G28" s="506"/>
      <c r="H28" s="513"/>
      <c r="I28" s="508"/>
      <c r="J28" s="514"/>
      <c r="K28" s="510"/>
      <c r="L28" s="727">
        <v>26.7</v>
      </c>
      <c r="M28" s="497">
        <f>'Trellis Labor'!H52</f>
        <v>9.9699846153846163</v>
      </c>
      <c r="N28" s="498">
        <f>L28*M28</f>
        <v>266.19858923076924</v>
      </c>
      <c r="O28" s="499">
        <f>G28+K28+N28</f>
        <v>266.19858923076924</v>
      </c>
      <c r="P28" s="500"/>
      <c r="AA28" s="511"/>
      <c r="AB28" s="366"/>
    </row>
    <row r="29" spans="1:28">
      <c r="A29" s="515"/>
      <c r="B29" s="1833" t="s">
        <v>828</v>
      </c>
      <c r="C29" s="1833"/>
      <c r="D29" s="1834"/>
      <c r="E29" s="504"/>
      <c r="F29" s="505"/>
      <c r="G29" s="506"/>
      <c r="H29" s="513"/>
      <c r="I29" s="508"/>
      <c r="J29" s="514"/>
      <c r="K29" s="510"/>
      <c r="L29" s="727">
        <v>12.5</v>
      </c>
      <c r="M29" s="497">
        <f>'Trellis Labor'!H52</f>
        <v>9.9699846153846163</v>
      </c>
      <c r="N29" s="498">
        <f>L29*M29</f>
        <v>124.6248076923077</v>
      </c>
      <c r="O29" s="499">
        <f>G29+K29+N29</f>
        <v>124.6248076923077</v>
      </c>
      <c r="P29" s="490"/>
      <c r="AA29" s="511"/>
    </row>
    <row r="30" spans="1:28">
      <c r="A30" s="516"/>
      <c r="B30" s="1835" t="s">
        <v>829</v>
      </c>
      <c r="C30" s="1835"/>
      <c r="D30" s="1836"/>
      <c r="E30" s="728">
        <v>10</v>
      </c>
      <c r="F30" s="517">
        <f>'Trellis Equipment'!H19</f>
        <v>0.38602604166666665</v>
      </c>
      <c r="G30" s="518">
        <f>E30*F30</f>
        <v>3.8602604166666667</v>
      </c>
      <c r="H30" s="519"/>
      <c r="I30" s="520"/>
      <c r="J30" s="521"/>
      <c r="K30" s="522"/>
      <c r="L30" s="728">
        <v>0.25</v>
      </c>
      <c r="M30" s="497">
        <f>'Trellis Labor'!H52</f>
        <v>9.9699846153846163</v>
      </c>
      <c r="N30" s="498">
        <f>L30*M30</f>
        <v>2.4924961538461541</v>
      </c>
      <c r="O30" s="499">
        <f>G30+K30+N30</f>
        <v>6.3527565705128204</v>
      </c>
      <c r="P30" s="490"/>
      <c r="AA30" s="511"/>
    </row>
    <row r="31" spans="1:28" s="534" customFormat="1">
      <c r="A31" s="523" t="s">
        <v>830</v>
      </c>
      <c r="B31" s="524"/>
      <c r="C31" s="524"/>
      <c r="D31" s="525"/>
      <c r="E31" s="526">
        <f>SUM(E30)</f>
        <v>10</v>
      </c>
      <c r="F31" s="526">
        <f>SUM(F30)</f>
        <v>0.38602604166666665</v>
      </c>
      <c r="G31" s="527">
        <f>SUM(G25:G30)</f>
        <v>3.8602604166666667</v>
      </c>
      <c r="H31" s="528"/>
      <c r="I31" s="529"/>
      <c r="J31" s="530"/>
      <c r="K31" s="531">
        <f>SUM(K25:K29)</f>
        <v>3503.09</v>
      </c>
      <c r="L31" s="532">
        <f>SUM(L27:L30)</f>
        <v>44.45</v>
      </c>
      <c r="M31" s="530"/>
      <c r="N31" s="531">
        <f>SUM(N25:N29)</f>
        <v>450.64330461538464</v>
      </c>
      <c r="O31" s="729">
        <f>SUM(O26:O30)</f>
        <v>3960.0860611858971</v>
      </c>
      <c r="P31" s="533"/>
      <c r="AA31" s="511"/>
      <c r="AB31" s="366"/>
    </row>
    <row r="32" spans="1:28">
      <c r="A32" s="535" t="s">
        <v>157</v>
      </c>
      <c r="B32" s="536"/>
      <c r="C32" s="536"/>
      <c r="D32" s="537"/>
      <c r="E32" s="481"/>
      <c r="F32" s="481"/>
      <c r="G32" s="482" t="s">
        <v>7</v>
      </c>
      <c r="H32" s="538"/>
      <c r="I32" s="481"/>
      <c r="J32" s="539"/>
      <c r="K32" s="540"/>
      <c r="L32" s="481"/>
      <c r="M32" s="541"/>
      <c r="N32" s="542"/>
      <c r="O32" s="543" t="s">
        <v>7</v>
      </c>
      <c r="P32" s="490"/>
      <c r="AA32" s="511"/>
    </row>
    <row r="33" spans="1:27">
      <c r="A33" s="544"/>
      <c r="B33" s="545" t="s">
        <v>142</v>
      </c>
      <c r="C33" s="545"/>
      <c r="D33" s="546"/>
      <c r="E33" s="492"/>
      <c r="F33" s="547"/>
      <c r="G33" s="730">
        <v>0</v>
      </c>
      <c r="H33" s="548"/>
      <c r="I33" s="508"/>
      <c r="J33" s="549"/>
      <c r="K33" s="731">
        <v>0</v>
      </c>
      <c r="L33" s="732">
        <v>10</v>
      </c>
      <c r="M33" s="550">
        <f>'Trellis Labor'!H52</f>
        <v>9.9699846153846163</v>
      </c>
      <c r="N33" s="498">
        <f>L33*M33</f>
        <v>99.699846153846167</v>
      </c>
      <c r="O33" s="499">
        <f>G33+K33+N33</f>
        <v>99.699846153846167</v>
      </c>
      <c r="P33" s="490"/>
      <c r="AA33" s="511"/>
    </row>
    <row r="34" spans="1:27">
      <c r="A34" s="523" t="s">
        <v>831</v>
      </c>
      <c r="B34" s="524"/>
      <c r="C34" s="524"/>
      <c r="D34" s="525"/>
      <c r="E34" s="526"/>
      <c r="F34" s="526"/>
      <c r="G34" s="527">
        <f>SUM(G33:G33)</f>
        <v>0</v>
      </c>
      <c r="H34" s="528"/>
      <c r="I34" s="529"/>
      <c r="J34" s="530"/>
      <c r="K34" s="531">
        <f>SUM(K33:K33)</f>
        <v>0</v>
      </c>
      <c r="L34" s="532">
        <f>L33</f>
        <v>10</v>
      </c>
      <c r="M34" s="530"/>
      <c r="N34" s="531">
        <f>SUM(N33:N33)</f>
        <v>99.699846153846167</v>
      </c>
      <c r="O34" s="729">
        <f>SUM(O33:O33)</f>
        <v>99.699846153846167</v>
      </c>
      <c r="P34" s="533"/>
      <c r="AA34" s="511"/>
    </row>
    <row r="35" spans="1:27">
      <c r="A35" s="551" t="s">
        <v>817</v>
      </c>
      <c r="B35" s="552"/>
      <c r="C35" s="552"/>
      <c r="D35" s="553"/>
      <c r="E35" s="554"/>
      <c r="F35" s="554"/>
      <c r="G35" s="482" t="s">
        <v>7</v>
      </c>
      <c r="H35" s="555"/>
      <c r="I35" s="556"/>
      <c r="J35" s="557"/>
      <c r="K35" s="489"/>
      <c r="L35" s="554"/>
      <c r="M35" s="558"/>
      <c r="N35" s="542"/>
      <c r="O35" s="559"/>
      <c r="P35" s="490"/>
    </row>
    <row r="36" spans="1:27">
      <c r="A36" s="560"/>
      <c r="B36" s="561" t="s">
        <v>142</v>
      </c>
      <c r="C36" s="561"/>
      <c r="D36" s="562"/>
      <c r="E36" s="492"/>
      <c r="F36" s="547"/>
      <c r="G36" s="730">
        <v>0</v>
      </c>
      <c r="H36" s="548"/>
      <c r="I36" s="508"/>
      <c r="J36" s="549"/>
      <c r="K36" s="733">
        <v>0</v>
      </c>
      <c r="L36" s="732">
        <v>10</v>
      </c>
      <c r="M36" s="550">
        <f>'Trellis Labor'!H52</f>
        <v>9.9699846153846163</v>
      </c>
      <c r="N36" s="498">
        <f>L36*M36</f>
        <v>99.699846153846167</v>
      </c>
      <c r="O36" s="499">
        <f>G36+K36+N36</f>
        <v>99.699846153846167</v>
      </c>
      <c r="P36" s="490"/>
    </row>
    <row r="37" spans="1:27">
      <c r="A37" s="523" t="s">
        <v>832</v>
      </c>
      <c r="B37" s="524"/>
      <c r="C37" s="524"/>
      <c r="D37" s="525"/>
      <c r="E37" s="563"/>
      <c r="F37" s="563"/>
      <c r="G37" s="527">
        <f>SUM(G36:G36)</f>
        <v>0</v>
      </c>
      <c r="H37" s="528"/>
      <c r="I37" s="530"/>
      <c r="J37" s="530"/>
      <c r="K37" s="531">
        <f>SUM(K36:K36)</f>
        <v>0</v>
      </c>
      <c r="L37" s="530">
        <f>L36</f>
        <v>10</v>
      </c>
      <c r="M37" s="530"/>
      <c r="N37" s="531">
        <f>SUM(N36:N36)</f>
        <v>99.699846153846167</v>
      </c>
      <c r="O37" s="729">
        <f>SUM(O36:O36)</f>
        <v>99.699846153846167</v>
      </c>
      <c r="P37" s="533"/>
    </row>
    <row r="38" spans="1:27" ht="15.75" thickBot="1">
      <c r="A38" s="734" t="s">
        <v>833</v>
      </c>
      <c r="B38" s="735"/>
      <c r="C38" s="735"/>
      <c r="D38" s="735"/>
      <c r="E38" s="736" t="s">
        <v>7</v>
      </c>
      <c r="F38" s="737"/>
      <c r="G38" s="564">
        <f>SUM(G37,G34,G31)</f>
        <v>3.8602604166666667</v>
      </c>
      <c r="H38" s="738" t="s">
        <v>7</v>
      </c>
      <c r="I38" s="739"/>
      <c r="J38" s="739"/>
      <c r="K38" s="565">
        <f>SUM(K37,K34,K31)</f>
        <v>3503.09</v>
      </c>
      <c r="L38" s="739" t="s">
        <v>7</v>
      </c>
      <c r="M38" s="739"/>
      <c r="N38" s="565">
        <f>SUM(N37,N34,N31)</f>
        <v>650.042996923077</v>
      </c>
      <c r="O38" s="740">
        <f>SUM(O37,O34,O31)</f>
        <v>4159.4857534935891</v>
      </c>
      <c r="P38" s="533"/>
    </row>
    <row r="39" spans="1:27" ht="15.75" thickBot="1">
      <c r="A39" s="1822" t="s">
        <v>783</v>
      </c>
      <c r="B39" s="1823"/>
      <c r="C39" s="1823"/>
      <c r="D39" s="1823"/>
      <c r="E39" s="1823"/>
      <c r="F39" s="1823"/>
      <c r="G39" s="1823"/>
      <c r="H39" s="1823"/>
      <c r="I39" s="1823"/>
      <c r="J39" s="1823"/>
      <c r="K39" s="1823"/>
      <c r="L39" s="1823"/>
      <c r="M39" s="1823"/>
      <c r="N39" s="1823"/>
      <c r="O39" s="1824"/>
    </row>
    <row r="40" spans="1:27">
      <c r="A40" s="471" t="s">
        <v>533</v>
      </c>
      <c r="B40" s="566" t="s">
        <v>7</v>
      </c>
      <c r="C40" s="473"/>
      <c r="D40" s="474"/>
      <c r="E40" s="1826" t="s">
        <v>820</v>
      </c>
      <c r="F40" s="1826"/>
      <c r="G40" s="1826"/>
      <c r="H40" s="1826" t="s">
        <v>821</v>
      </c>
      <c r="I40" s="1826"/>
      <c r="J40" s="1826"/>
      <c r="K40" s="1826"/>
      <c r="L40" s="1826" t="s">
        <v>822</v>
      </c>
      <c r="M40" s="1826"/>
      <c r="N40" s="1826"/>
      <c r="O40" s="678" t="s">
        <v>155</v>
      </c>
      <c r="P40" s="366" t="s">
        <v>7</v>
      </c>
    </row>
    <row r="41" spans="1:27">
      <c r="A41" s="475"/>
      <c r="B41" s="1827" t="s">
        <v>834</v>
      </c>
      <c r="C41" s="1827"/>
      <c r="D41" s="1828"/>
      <c r="E41" s="476" t="s">
        <v>15</v>
      </c>
      <c r="F41" s="476" t="s">
        <v>16</v>
      </c>
      <c r="G41" s="476" t="s">
        <v>17</v>
      </c>
      <c r="H41" s="476" t="s">
        <v>18</v>
      </c>
      <c r="I41" s="476" t="s">
        <v>19</v>
      </c>
      <c r="J41" s="476" t="s">
        <v>267</v>
      </c>
      <c r="K41" s="476" t="s">
        <v>21</v>
      </c>
      <c r="L41" s="476" t="s">
        <v>15</v>
      </c>
      <c r="M41" s="476" t="s">
        <v>16</v>
      </c>
      <c r="N41" s="476" t="s">
        <v>22</v>
      </c>
      <c r="O41" s="477" t="s">
        <v>13</v>
      </c>
      <c r="P41" s="478" t="s">
        <v>7</v>
      </c>
    </row>
    <row r="42" spans="1:27">
      <c r="A42" s="479" t="s">
        <v>156</v>
      </c>
      <c r="B42" s="474"/>
      <c r="C42" s="474"/>
      <c r="D42" s="480"/>
      <c r="E42" s="481"/>
      <c r="F42" s="481"/>
      <c r="G42" s="482"/>
      <c r="H42" s="483"/>
      <c r="I42" s="484"/>
      <c r="J42" s="485"/>
      <c r="K42" s="486"/>
      <c r="L42" s="481"/>
      <c r="M42" s="487"/>
      <c r="N42" s="488"/>
      <c r="O42" s="489"/>
    </row>
    <row r="43" spans="1:27">
      <c r="A43" s="491"/>
      <c r="B43" s="1829" t="s">
        <v>824</v>
      </c>
      <c r="C43" s="1829"/>
      <c r="D43" s="1830"/>
      <c r="E43" s="492"/>
      <c r="F43" s="493"/>
      <c r="G43" s="493"/>
      <c r="H43" s="494">
        <f>'Trellis Materials '!E20</f>
        <v>3416.09</v>
      </c>
      <c r="I43" s="495" t="s">
        <v>825</v>
      </c>
      <c r="J43" s="741">
        <v>1</v>
      </c>
      <c r="K43" s="496">
        <f>H43*J43</f>
        <v>3416.09</v>
      </c>
      <c r="L43" s="726">
        <v>1</v>
      </c>
      <c r="M43" s="497">
        <f>'Trellis Labor'!H52</f>
        <v>9.9699846153846163</v>
      </c>
      <c r="N43" s="498">
        <f>L43*M43</f>
        <v>9.9699846153846163</v>
      </c>
      <c r="O43" s="499">
        <f t="shared" ref="O43:O50" si="0">G43+K43+N43</f>
        <v>3426.0599846153846</v>
      </c>
      <c r="P43" s="501"/>
    </row>
    <row r="44" spans="1:27">
      <c r="A44" s="491"/>
      <c r="B44" s="1831" t="s">
        <v>826</v>
      </c>
      <c r="C44" s="1831"/>
      <c r="D44" s="1832"/>
      <c r="E44" s="504"/>
      <c r="F44" s="505"/>
      <c r="G44" s="506"/>
      <c r="H44" s="507"/>
      <c r="I44" s="508"/>
      <c r="J44" s="509"/>
      <c r="K44" s="510"/>
      <c r="L44" s="727">
        <v>5</v>
      </c>
      <c r="M44" s="497">
        <f>'Trellis Labor'!H52</f>
        <v>9.9699846153846163</v>
      </c>
      <c r="N44" s="498">
        <f>L44*M44</f>
        <v>49.849923076923083</v>
      </c>
      <c r="O44" s="499">
        <f t="shared" si="0"/>
        <v>49.849923076923083</v>
      </c>
      <c r="P44" s="501"/>
    </row>
    <row r="45" spans="1:27">
      <c r="A45" s="491"/>
      <c r="B45" s="1831" t="s">
        <v>835</v>
      </c>
      <c r="C45" s="1831"/>
      <c r="D45" s="503"/>
      <c r="E45" s="504"/>
      <c r="F45" s="505"/>
      <c r="G45" s="506"/>
      <c r="H45" s="507"/>
      <c r="I45" s="508"/>
      <c r="J45" s="509"/>
      <c r="K45" s="510"/>
      <c r="L45" s="727">
        <v>20</v>
      </c>
      <c r="M45" s="497">
        <f>'Trellis Labor'!H52</f>
        <v>9.9699846153846163</v>
      </c>
      <c r="N45" s="498">
        <f>L45*M45</f>
        <v>199.39969230769233</v>
      </c>
      <c r="O45" s="499">
        <f t="shared" si="0"/>
        <v>199.39969230769233</v>
      </c>
      <c r="P45" s="501"/>
    </row>
    <row r="46" spans="1:27">
      <c r="A46" s="491"/>
      <c r="B46" s="1831" t="s">
        <v>836</v>
      </c>
      <c r="C46" s="1831"/>
      <c r="D46" s="1832"/>
      <c r="E46" s="512"/>
      <c r="F46" s="505"/>
      <c r="G46" s="506"/>
      <c r="H46" s="513"/>
      <c r="I46" s="508"/>
      <c r="J46" s="514"/>
      <c r="K46" s="510"/>
      <c r="L46" s="727">
        <v>50</v>
      </c>
      <c r="M46" s="497">
        <f>'Trellis Labor'!H52</f>
        <v>9.9699846153846163</v>
      </c>
      <c r="N46" s="498">
        <f>L46*M46</f>
        <v>498.49923076923079</v>
      </c>
      <c r="O46" s="499">
        <f t="shared" si="0"/>
        <v>498.49923076923079</v>
      </c>
      <c r="P46" s="501"/>
    </row>
    <row r="47" spans="1:27">
      <c r="A47" s="491"/>
      <c r="B47" s="1837" t="s">
        <v>837</v>
      </c>
      <c r="C47" s="1837"/>
      <c r="D47" s="1838"/>
      <c r="E47" s="742">
        <v>16.670000000000002</v>
      </c>
      <c r="F47" s="497">
        <f>'Trellis Equipment'!H18+'Trellis Equipment'!H21</f>
        <v>12.643916238500001</v>
      </c>
      <c r="G47" s="497">
        <f>E47*F47</f>
        <v>210.77408369579504</v>
      </c>
      <c r="H47" s="513"/>
      <c r="I47" s="508"/>
      <c r="J47" s="514"/>
      <c r="K47" s="510"/>
      <c r="L47" s="514"/>
      <c r="M47" s="497"/>
      <c r="N47" s="498"/>
      <c r="O47" s="499">
        <f t="shared" si="0"/>
        <v>210.77408369579504</v>
      </c>
      <c r="P47" s="501"/>
    </row>
    <row r="48" spans="1:27">
      <c r="A48" s="491"/>
      <c r="B48" s="1831" t="s">
        <v>838</v>
      </c>
      <c r="C48" s="1831"/>
      <c r="D48" s="1832"/>
      <c r="E48" s="514"/>
      <c r="F48" s="497"/>
      <c r="G48" s="497"/>
      <c r="H48" s="513"/>
      <c r="I48" s="508"/>
      <c r="J48" s="514"/>
      <c r="K48" s="510"/>
      <c r="L48" s="742">
        <v>33.33</v>
      </c>
      <c r="M48" s="497">
        <f>'Trellis Labor'!H52</f>
        <v>9.9699846153846163</v>
      </c>
      <c r="N48" s="498">
        <f>L48*M48</f>
        <v>332.29958723076925</v>
      </c>
      <c r="O48" s="499">
        <f t="shared" si="0"/>
        <v>332.29958723076925</v>
      </c>
      <c r="P48" s="501"/>
    </row>
    <row r="49" spans="1:16">
      <c r="A49" s="491"/>
      <c r="B49" s="1831" t="s">
        <v>839</v>
      </c>
      <c r="C49" s="1831"/>
      <c r="D49" s="1832"/>
      <c r="E49" s="742">
        <v>16.670000000000002</v>
      </c>
      <c r="F49" s="497">
        <f>'Trellis Equipment'!H20</f>
        <v>2.6077499999999998</v>
      </c>
      <c r="G49" s="497">
        <f>E49*F49</f>
        <v>43.471192500000001</v>
      </c>
      <c r="H49" s="513"/>
      <c r="I49" s="508"/>
      <c r="J49" s="514"/>
      <c r="K49" s="510"/>
      <c r="L49" s="514"/>
      <c r="M49" s="497"/>
      <c r="N49" s="498"/>
      <c r="O49" s="499">
        <f t="shared" si="0"/>
        <v>43.471192500000001</v>
      </c>
      <c r="P49" s="501"/>
    </row>
    <row r="50" spans="1:16">
      <c r="A50" s="515"/>
      <c r="B50" s="1833" t="s">
        <v>828</v>
      </c>
      <c r="C50" s="1833"/>
      <c r="D50" s="1834"/>
      <c r="E50" s="504"/>
      <c r="F50" s="505"/>
      <c r="G50" s="506"/>
      <c r="H50" s="513"/>
      <c r="I50" s="508"/>
      <c r="J50" s="514"/>
      <c r="K50" s="510"/>
      <c r="L50" s="727">
        <v>12.5</v>
      </c>
      <c r="M50" s="497">
        <f>'Trellis Labor'!H52</f>
        <v>9.9699846153846163</v>
      </c>
      <c r="N50" s="498">
        <f>L50*M50</f>
        <v>124.6248076923077</v>
      </c>
      <c r="O50" s="499">
        <f t="shared" si="0"/>
        <v>124.6248076923077</v>
      </c>
    </row>
    <row r="51" spans="1:16">
      <c r="A51" s="516"/>
      <c r="B51" s="1835" t="s">
        <v>829</v>
      </c>
      <c r="C51" s="1835"/>
      <c r="D51" s="1836"/>
      <c r="E51" s="728">
        <v>10</v>
      </c>
      <c r="F51" s="517">
        <f>'Trellis Equipment'!H19</f>
        <v>0.38602604166666665</v>
      </c>
      <c r="G51" s="518">
        <f>E51*F51</f>
        <v>3.8602604166666667</v>
      </c>
      <c r="H51" s="519"/>
      <c r="I51" s="520"/>
      <c r="J51" s="521"/>
      <c r="K51" s="522"/>
      <c r="L51" s="728">
        <v>0.25</v>
      </c>
      <c r="M51" s="497">
        <f>'Trellis Labor'!H52</f>
        <v>9.9699846153846163</v>
      </c>
      <c r="N51" s="498">
        <f>L51*M51</f>
        <v>2.4924961538461541</v>
      </c>
      <c r="O51" s="499">
        <f>G51+K51+N51</f>
        <v>6.3527565705128204</v>
      </c>
    </row>
    <row r="52" spans="1:16">
      <c r="A52" s="523" t="s">
        <v>830</v>
      </c>
      <c r="B52" s="524"/>
      <c r="C52" s="524"/>
      <c r="D52" s="525"/>
      <c r="E52" s="526">
        <f>SUM(E47+E49+E51)</f>
        <v>43.34</v>
      </c>
      <c r="F52" s="526">
        <f>SUM(F47+F49+F51)</f>
        <v>15.637692280166666</v>
      </c>
      <c r="G52" s="527">
        <f>SUM(G42:G51)</f>
        <v>258.10553661246172</v>
      </c>
      <c r="H52" s="528"/>
      <c r="I52" s="529"/>
      <c r="J52" s="530"/>
      <c r="K52" s="531">
        <f>SUM(K42:K50)</f>
        <v>3416.09</v>
      </c>
      <c r="L52" s="532">
        <f>SUM(L44:L51)</f>
        <v>121.08</v>
      </c>
      <c r="M52" s="530"/>
      <c r="N52" s="531">
        <f>SUM(N42:N50)</f>
        <v>1214.6432256923079</v>
      </c>
      <c r="O52" s="729">
        <f>SUM(O43:O51)</f>
        <v>4891.3312584586147</v>
      </c>
      <c r="P52" s="533"/>
    </row>
    <row r="53" spans="1:16">
      <c r="A53" s="535" t="s">
        <v>157</v>
      </c>
      <c r="B53" s="536"/>
      <c r="C53" s="536"/>
      <c r="D53" s="537"/>
      <c r="E53" s="481"/>
      <c r="F53" s="481"/>
      <c r="G53" s="482" t="s">
        <v>7</v>
      </c>
      <c r="H53" s="538"/>
      <c r="I53" s="481"/>
      <c r="J53" s="539"/>
      <c r="K53" s="540"/>
      <c r="L53" s="567"/>
      <c r="M53" s="541"/>
      <c r="N53" s="542"/>
      <c r="O53" s="543" t="s">
        <v>7</v>
      </c>
      <c r="P53" s="490"/>
    </row>
    <row r="54" spans="1:16">
      <c r="A54" s="544"/>
      <c r="B54" s="545" t="s">
        <v>142</v>
      </c>
      <c r="C54" s="545"/>
      <c r="D54" s="546"/>
      <c r="E54" s="492"/>
      <c r="F54" s="547"/>
      <c r="G54" s="730">
        <v>0</v>
      </c>
      <c r="H54" s="548"/>
      <c r="I54" s="508"/>
      <c r="J54" s="549"/>
      <c r="K54" s="731">
        <v>0</v>
      </c>
      <c r="L54" s="732">
        <v>10</v>
      </c>
      <c r="M54" s="550">
        <f>'Trellis Labor'!H52</f>
        <v>9.9699846153846163</v>
      </c>
      <c r="N54" s="498">
        <f>L54*M54</f>
        <v>99.699846153846167</v>
      </c>
      <c r="O54" s="499">
        <f>G54+K54+N54</f>
        <v>99.699846153846167</v>
      </c>
      <c r="P54" s="490"/>
    </row>
    <row r="55" spans="1:16">
      <c r="A55" s="523" t="s">
        <v>831</v>
      </c>
      <c r="B55" s="524"/>
      <c r="C55" s="524"/>
      <c r="D55" s="525"/>
      <c r="E55" s="526"/>
      <c r="F55" s="526"/>
      <c r="G55" s="527">
        <f>SUM(G54:G54)</f>
        <v>0</v>
      </c>
      <c r="H55" s="528"/>
      <c r="I55" s="529"/>
      <c r="J55" s="530"/>
      <c r="K55" s="531">
        <f>SUM(K54:K54)</f>
        <v>0</v>
      </c>
      <c r="L55" s="532">
        <f>L54</f>
        <v>10</v>
      </c>
      <c r="M55" s="530"/>
      <c r="N55" s="531">
        <f>SUM(N54:N54)</f>
        <v>99.699846153846167</v>
      </c>
      <c r="O55" s="729">
        <f>SUM(O54:O54)</f>
        <v>99.699846153846167</v>
      </c>
      <c r="P55" s="533"/>
    </row>
    <row r="56" spans="1:16">
      <c r="A56" s="551" t="s">
        <v>817</v>
      </c>
      <c r="B56" s="552"/>
      <c r="C56" s="552"/>
      <c r="D56" s="553"/>
      <c r="E56" s="554"/>
      <c r="F56" s="554"/>
      <c r="G56" s="482" t="s">
        <v>7</v>
      </c>
      <c r="H56" s="555"/>
      <c r="I56" s="556"/>
      <c r="J56" s="557"/>
      <c r="K56" s="489"/>
      <c r="L56" s="554"/>
      <c r="M56" s="558"/>
      <c r="N56" s="542"/>
      <c r="O56" s="559"/>
      <c r="P56" s="490"/>
    </row>
    <row r="57" spans="1:16">
      <c r="A57" s="560"/>
      <c r="B57" s="561" t="s">
        <v>142</v>
      </c>
      <c r="C57" s="561"/>
      <c r="D57" s="562"/>
      <c r="E57" s="492"/>
      <c r="F57" s="547"/>
      <c r="G57" s="730">
        <v>0</v>
      </c>
      <c r="H57" s="548"/>
      <c r="I57" s="508"/>
      <c r="J57" s="549"/>
      <c r="K57" s="731">
        <v>0</v>
      </c>
      <c r="L57" s="732">
        <v>10</v>
      </c>
      <c r="M57" s="550">
        <f>'Trellis Labor'!H52</f>
        <v>9.9699846153846163</v>
      </c>
      <c r="N57" s="498">
        <f>L57*M57</f>
        <v>99.699846153846167</v>
      </c>
      <c r="O57" s="499">
        <f>G57+K57+N57</f>
        <v>99.699846153846167</v>
      </c>
      <c r="P57" s="490"/>
    </row>
    <row r="58" spans="1:16">
      <c r="A58" s="523" t="s">
        <v>832</v>
      </c>
      <c r="B58" s="524"/>
      <c r="C58" s="524"/>
      <c r="D58" s="525"/>
      <c r="E58" s="563"/>
      <c r="F58" s="563"/>
      <c r="G58" s="527">
        <f>SUM(G57:G57)</f>
        <v>0</v>
      </c>
      <c r="H58" s="528"/>
      <c r="I58" s="530"/>
      <c r="J58" s="530"/>
      <c r="K58" s="531">
        <f>SUM(K57:K57)</f>
        <v>0</v>
      </c>
      <c r="L58" s="530">
        <f>L57</f>
        <v>10</v>
      </c>
      <c r="M58" s="530"/>
      <c r="N58" s="531">
        <f>SUM(N57:N57)</f>
        <v>99.699846153846167</v>
      </c>
      <c r="O58" s="729">
        <f>SUM(O57:O57)</f>
        <v>99.699846153846167</v>
      </c>
      <c r="P58" s="533"/>
    </row>
    <row r="59" spans="1:16" ht="15.75" thickBot="1">
      <c r="A59" s="734" t="s">
        <v>833</v>
      </c>
      <c r="B59" s="735"/>
      <c r="C59" s="735"/>
      <c r="D59" s="735"/>
      <c r="E59" s="736" t="s">
        <v>7</v>
      </c>
      <c r="F59" s="737"/>
      <c r="G59" s="564">
        <f>SUM(G58,G55,G52)</f>
        <v>258.10553661246172</v>
      </c>
      <c r="H59" s="738" t="s">
        <v>7</v>
      </c>
      <c r="I59" s="739"/>
      <c r="J59" s="739"/>
      <c r="K59" s="565">
        <f>SUM(K58,K55,K52)</f>
        <v>3416.09</v>
      </c>
      <c r="L59" s="739" t="s">
        <v>7</v>
      </c>
      <c r="M59" s="739"/>
      <c r="N59" s="565">
        <f>SUM(N58,N55,N52)</f>
        <v>1414.0429180000001</v>
      </c>
      <c r="O59" s="740">
        <f>SUM(O58,O55,O52)</f>
        <v>5090.7309507663067</v>
      </c>
      <c r="P59" s="533"/>
    </row>
    <row r="60" spans="1:16" ht="18.75" customHeight="1" thickBot="1">
      <c r="A60" s="1822" t="s">
        <v>789</v>
      </c>
      <c r="B60" s="1823"/>
      <c r="C60" s="1823"/>
      <c r="D60" s="1823"/>
      <c r="E60" s="1823"/>
      <c r="F60" s="1823"/>
      <c r="G60" s="1823"/>
      <c r="H60" s="1823"/>
      <c r="I60" s="1823"/>
      <c r="J60" s="1823"/>
      <c r="K60" s="1823"/>
      <c r="L60" s="1823"/>
      <c r="M60" s="1823"/>
      <c r="N60" s="1823"/>
      <c r="O60" s="1824"/>
    </row>
    <row r="61" spans="1:16">
      <c r="A61" s="471" t="s">
        <v>533</v>
      </c>
      <c r="B61" s="566" t="s">
        <v>7</v>
      </c>
      <c r="C61" s="473"/>
      <c r="D61" s="568"/>
      <c r="E61" s="1839" t="s">
        <v>10</v>
      </c>
      <c r="F61" s="1840"/>
      <c r="G61" s="1841"/>
      <c r="H61" s="1839" t="s">
        <v>11</v>
      </c>
      <c r="I61" s="1840"/>
      <c r="J61" s="1840"/>
      <c r="K61" s="1842"/>
      <c r="L61" s="1843" t="s">
        <v>12</v>
      </c>
      <c r="M61" s="1844"/>
      <c r="N61" s="1845"/>
      <c r="O61" s="678" t="s">
        <v>155</v>
      </c>
      <c r="P61" s="366" t="s">
        <v>7</v>
      </c>
    </row>
    <row r="62" spans="1:16">
      <c r="A62" s="475"/>
      <c r="B62" s="1827" t="s">
        <v>834</v>
      </c>
      <c r="C62" s="1827"/>
      <c r="D62" s="1828"/>
      <c r="E62" s="569" t="s">
        <v>15</v>
      </c>
      <c r="F62" s="569" t="s">
        <v>16</v>
      </c>
      <c r="G62" s="569" t="s">
        <v>17</v>
      </c>
      <c r="H62" s="569" t="s">
        <v>18</v>
      </c>
      <c r="I62" s="569" t="s">
        <v>19</v>
      </c>
      <c r="J62" s="569" t="s">
        <v>267</v>
      </c>
      <c r="K62" s="569" t="s">
        <v>21</v>
      </c>
      <c r="L62" s="569" t="s">
        <v>15</v>
      </c>
      <c r="M62" s="569" t="s">
        <v>16</v>
      </c>
      <c r="N62" s="569" t="s">
        <v>22</v>
      </c>
      <c r="O62" s="477" t="s">
        <v>13</v>
      </c>
      <c r="P62" s="478" t="s">
        <v>7</v>
      </c>
    </row>
    <row r="63" spans="1:16">
      <c r="A63" s="479" t="s">
        <v>156</v>
      </c>
      <c r="B63" s="568"/>
      <c r="C63" s="568"/>
      <c r="D63" s="570"/>
      <c r="E63" s="536"/>
      <c r="F63" s="536"/>
      <c r="G63" s="571"/>
      <c r="H63" s="572"/>
      <c r="I63" s="573"/>
      <c r="J63" s="574"/>
      <c r="K63" s="575"/>
      <c r="L63" s="536"/>
      <c r="M63" s="576"/>
      <c r="N63" s="575"/>
      <c r="O63" s="577"/>
    </row>
    <row r="64" spans="1:16">
      <c r="A64" s="578"/>
      <c r="B64" s="579" t="s">
        <v>824</v>
      </c>
      <c r="C64" s="579"/>
      <c r="D64" s="580"/>
      <c r="E64" s="581"/>
      <c r="F64" s="582"/>
      <c r="G64" s="582"/>
      <c r="H64" s="583">
        <f>'Trellis Materials '!E27</f>
        <v>1688.84</v>
      </c>
      <c r="I64" s="584" t="s">
        <v>825</v>
      </c>
      <c r="J64" s="743">
        <v>1</v>
      </c>
      <c r="K64" s="585">
        <f>H64*J64</f>
        <v>1688.84</v>
      </c>
      <c r="L64" s="744">
        <v>1</v>
      </c>
      <c r="M64" s="586">
        <f>'Trellis Labor'!H52</f>
        <v>9.9699846153846163</v>
      </c>
      <c r="N64" s="587">
        <f>L64*M64</f>
        <v>9.9699846153846163</v>
      </c>
      <c r="O64" s="588">
        <f>$N64+$K64+$G64</f>
        <v>1698.8099846153846</v>
      </c>
    </row>
    <row r="65" spans="1:16" s="501" customFormat="1" ht="12.75">
      <c r="A65" s="589"/>
      <c r="B65" s="502" t="s">
        <v>826</v>
      </c>
      <c r="C65" s="590"/>
      <c r="D65" s="591"/>
      <c r="E65" s="592"/>
      <c r="F65" s="593"/>
      <c r="G65" s="594"/>
      <c r="H65" s="595"/>
      <c r="I65" s="596"/>
      <c r="J65" s="597"/>
      <c r="K65" s="598"/>
      <c r="L65" s="745">
        <v>5</v>
      </c>
      <c r="M65" s="586">
        <f>'Trellis Labor'!H52</f>
        <v>9.9699846153846163</v>
      </c>
      <c r="N65" s="599">
        <v>42.374615384615389</v>
      </c>
      <c r="O65" s="600">
        <v>42.374615384615389</v>
      </c>
    </row>
    <row r="66" spans="1:16" s="501" customFormat="1" ht="12.75">
      <c r="A66" s="589"/>
      <c r="B66" s="1831" t="s">
        <v>840</v>
      </c>
      <c r="C66" s="1831"/>
      <c r="D66" s="1832"/>
      <c r="E66" s="512"/>
      <c r="F66" s="505"/>
      <c r="G66" s="506"/>
      <c r="H66" s="513"/>
      <c r="I66" s="508"/>
      <c r="J66" s="514"/>
      <c r="K66" s="510"/>
      <c r="L66" s="727">
        <v>8</v>
      </c>
      <c r="M66" s="497">
        <f>'Trellis Labor'!H52</f>
        <v>9.9699846153846163</v>
      </c>
      <c r="N66" s="601">
        <f>L66*M66</f>
        <v>79.759876923076931</v>
      </c>
      <c r="O66" s="499">
        <f>G66+K66+N66</f>
        <v>79.759876923076931</v>
      </c>
    </row>
    <row r="67" spans="1:16">
      <c r="A67" s="589"/>
      <c r="B67" s="1833" t="s">
        <v>841</v>
      </c>
      <c r="C67" s="1833"/>
      <c r="D67" s="1834"/>
      <c r="E67" s="592"/>
      <c r="F67" s="593"/>
      <c r="G67" s="594"/>
      <c r="H67" s="602"/>
      <c r="I67" s="596"/>
      <c r="J67" s="603"/>
      <c r="K67" s="598"/>
      <c r="L67" s="745">
        <v>10</v>
      </c>
      <c r="M67" s="586">
        <f>'Trellis Labor'!H52</f>
        <v>9.9699846153846163</v>
      </c>
      <c r="N67" s="599">
        <f>L67*M67</f>
        <v>99.699846153846167</v>
      </c>
      <c r="O67" s="600">
        <f>G67+K67+N67</f>
        <v>99.699846153846167</v>
      </c>
    </row>
    <row r="68" spans="1:16">
      <c r="A68" s="589"/>
      <c r="B68" s="1835" t="s">
        <v>829</v>
      </c>
      <c r="C68" s="1835"/>
      <c r="D68" s="1836"/>
      <c r="E68" s="728">
        <v>10</v>
      </c>
      <c r="F68" s="517">
        <f>'Trellis Equipment'!H19</f>
        <v>0.38602604166666665</v>
      </c>
      <c r="G68" s="518">
        <f>E68*F68</f>
        <v>3.8602604166666667</v>
      </c>
      <c r="H68" s="519"/>
      <c r="I68" s="520"/>
      <c r="J68" s="521"/>
      <c r="K68" s="522"/>
      <c r="L68" s="728">
        <v>0.25</v>
      </c>
      <c r="M68" s="586">
        <f>'Trellis Labor'!H52</f>
        <v>9.9699846153846163</v>
      </c>
      <c r="N68" s="599">
        <f>L68*M68</f>
        <v>2.4924961538461541</v>
      </c>
      <c r="O68" s="499">
        <f>G68+K68+N68</f>
        <v>6.3527565705128204</v>
      </c>
      <c r="P68" s="490"/>
    </row>
    <row r="69" spans="1:16" s="534" customFormat="1">
      <c r="A69" s="523" t="s">
        <v>830</v>
      </c>
      <c r="B69" s="524"/>
      <c r="C69" s="524"/>
      <c r="D69" s="525"/>
      <c r="E69" s="604">
        <f>SUM(E68)</f>
        <v>10</v>
      </c>
      <c r="F69" s="604">
        <f>SUM(F68)</f>
        <v>0.38602604166666665</v>
      </c>
      <c r="G69" s="605">
        <f>SUM(G63:G68)</f>
        <v>3.8602604166666667</v>
      </c>
      <c r="H69" s="606"/>
      <c r="I69" s="607"/>
      <c r="J69" s="608"/>
      <c r="K69" s="605">
        <f>SUM(K63:K67)</f>
        <v>1688.84</v>
      </c>
      <c r="L69" s="606">
        <f>SUM(L65:L68)</f>
        <v>23.25</v>
      </c>
      <c r="M69" s="608"/>
      <c r="N69" s="609">
        <f>SUM(N63:N67)</f>
        <v>231.80432307692308</v>
      </c>
      <c r="O69" s="746">
        <f>SUM(O64:O68)</f>
        <v>1926.9970796474361</v>
      </c>
      <c r="P69" s="533"/>
    </row>
    <row r="70" spans="1:16">
      <c r="A70" s="610" t="s">
        <v>157</v>
      </c>
      <c r="B70" s="552"/>
      <c r="C70" s="552"/>
      <c r="D70" s="553"/>
      <c r="E70" s="552"/>
      <c r="F70" s="552"/>
      <c r="G70" s="571" t="s">
        <v>7</v>
      </c>
      <c r="H70" s="611"/>
      <c r="I70" s="552"/>
      <c r="J70" s="612"/>
      <c r="K70" s="579"/>
      <c r="L70" s="613"/>
      <c r="M70" s="614"/>
      <c r="N70" s="580"/>
      <c r="O70" s="615" t="s">
        <v>7</v>
      </c>
      <c r="P70" s="490"/>
    </row>
    <row r="71" spans="1:16">
      <c r="A71" s="616"/>
      <c r="B71" s="561" t="s">
        <v>142</v>
      </c>
      <c r="C71" s="561"/>
      <c r="D71" s="562"/>
      <c r="E71" s="617"/>
      <c r="F71" s="618"/>
      <c r="G71" s="747">
        <v>0</v>
      </c>
      <c r="H71" s="619"/>
      <c r="I71" s="596"/>
      <c r="J71" s="620"/>
      <c r="K71" s="747">
        <v>0</v>
      </c>
      <c r="L71" s="748">
        <v>10</v>
      </c>
      <c r="M71" s="550">
        <f>'Trellis Labor'!H52</f>
        <v>9.9699846153846163</v>
      </c>
      <c r="N71" s="601">
        <f>L71*M71</f>
        <v>99.699846153846167</v>
      </c>
      <c r="O71" s="499">
        <f>G71+K71+N71</f>
        <v>99.699846153846167</v>
      </c>
      <c r="P71" s="490"/>
    </row>
    <row r="72" spans="1:16">
      <c r="A72" s="523" t="s">
        <v>831</v>
      </c>
      <c r="B72" s="524"/>
      <c r="C72" s="524"/>
      <c r="D72" s="525"/>
      <c r="E72" s="604"/>
      <c r="F72" s="604"/>
      <c r="G72" s="605">
        <f>SUM(G71:G71)</f>
        <v>0</v>
      </c>
      <c r="H72" s="606"/>
      <c r="I72" s="607"/>
      <c r="J72" s="608"/>
      <c r="K72" s="605">
        <f>SUM(K71:K71)</f>
        <v>0</v>
      </c>
      <c r="L72" s="606">
        <f>L71</f>
        <v>10</v>
      </c>
      <c r="M72" s="608"/>
      <c r="N72" s="609">
        <f>SUM(N71:N71)</f>
        <v>99.699846153846167</v>
      </c>
      <c r="O72" s="746">
        <f>SUM(O71:O71)</f>
        <v>99.699846153846167</v>
      </c>
      <c r="P72" s="533"/>
    </row>
    <row r="73" spans="1:16">
      <c r="A73" s="610" t="s">
        <v>817</v>
      </c>
      <c r="B73" s="552"/>
      <c r="C73" s="552"/>
      <c r="D73" s="553"/>
      <c r="E73" s="581"/>
      <c r="F73" s="581"/>
      <c r="G73" s="571" t="s">
        <v>7</v>
      </c>
      <c r="H73" s="611"/>
      <c r="I73" s="621"/>
      <c r="J73" s="612"/>
      <c r="K73" s="571"/>
      <c r="L73" s="622"/>
      <c r="M73" s="614"/>
      <c r="N73" s="577"/>
      <c r="O73" s="577"/>
      <c r="P73" s="490"/>
    </row>
    <row r="74" spans="1:16">
      <c r="A74" s="616"/>
      <c r="B74" s="561" t="s">
        <v>142</v>
      </c>
      <c r="C74" s="561"/>
      <c r="D74" s="562"/>
      <c r="E74" s="617"/>
      <c r="F74" s="618"/>
      <c r="G74" s="747">
        <v>0</v>
      </c>
      <c r="H74" s="619"/>
      <c r="I74" s="596"/>
      <c r="J74" s="620"/>
      <c r="K74" s="747">
        <v>0</v>
      </c>
      <c r="L74" s="748">
        <v>10</v>
      </c>
      <c r="M74" s="550">
        <f>'Trellis Labor'!H52</f>
        <v>9.9699846153846163</v>
      </c>
      <c r="N74" s="601">
        <f>L74*M74</f>
        <v>99.699846153846167</v>
      </c>
      <c r="O74" s="499">
        <f>G74+K74+N74</f>
        <v>99.699846153846167</v>
      </c>
      <c r="P74" s="490"/>
    </row>
    <row r="75" spans="1:16">
      <c r="A75" s="523" t="s">
        <v>832</v>
      </c>
      <c r="B75" s="524"/>
      <c r="C75" s="524"/>
      <c r="D75" s="525"/>
      <c r="E75" s="524"/>
      <c r="F75" s="623"/>
      <c r="G75" s="605">
        <f>SUM(G74:G74)</f>
        <v>0</v>
      </c>
      <c r="H75" s="606"/>
      <c r="I75" s="608"/>
      <c r="J75" s="608"/>
      <c r="K75" s="605">
        <f>SUM(K74:K74)</f>
        <v>0</v>
      </c>
      <c r="L75" s="606">
        <f>L74</f>
        <v>10</v>
      </c>
      <c r="M75" s="608"/>
      <c r="N75" s="609">
        <f>SUM(N74:N74)</f>
        <v>99.699846153846167</v>
      </c>
      <c r="O75" s="746">
        <f>SUM(O74:O74)</f>
        <v>99.699846153846167</v>
      </c>
      <c r="P75" s="533"/>
    </row>
    <row r="76" spans="1:16">
      <c r="A76" s="734" t="s">
        <v>833</v>
      </c>
      <c r="B76" s="735"/>
      <c r="C76" s="735"/>
      <c r="D76" s="735"/>
      <c r="E76" s="749" t="s">
        <v>7</v>
      </c>
      <c r="F76" s="750" t="s">
        <v>7</v>
      </c>
      <c r="G76" s="624">
        <f>SUM(G75,G72,G69)</f>
        <v>3.8602604166666667</v>
      </c>
      <c r="H76" s="751" t="s">
        <v>7</v>
      </c>
      <c r="I76" s="752"/>
      <c r="J76" s="752"/>
      <c r="K76" s="624">
        <f>SUM(K75,K72,K69)</f>
        <v>1688.84</v>
      </c>
      <c r="L76" s="625" t="s">
        <v>7</v>
      </c>
      <c r="M76" s="626"/>
      <c r="N76" s="624">
        <f>SUM(N75,N72,N69)</f>
        <v>431.20401538461545</v>
      </c>
      <c r="O76" s="753">
        <f>SUM(O75,O72,O69)</f>
        <v>2126.3967719551283</v>
      </c>
      <c r="P76" s="533"/>
    </row>
    <row r="77" spans="1:16" s="490" customFormat="1" ht="15.75" thickBot="1">
      <c r="A77" s="627"/>
      <c r="B77" s="627"/>
      <c r="C77" s="627"/>
      <c r="D77" s="627"/>
      <c r="E77" s="627"/>
      <c r="F77" s="627"/>
      <c r="G77" s="628"/>
      <c r="H77" s="628"/>
      <c r="I77" s="627"/>
      <c r="J77" s="629"/>
      <c r="K77" s="628"/>
      <c r="L77" s="627"/>
      <c r="M77" s="627"/>
      <c r="N77" s="628"/>
      <c r="O77" s="628"/>
      <c r="P77" s="533"/>
    </row>
    <row r="78" spans="1:16" ht="18.75" customHeight="1" thickBot="1">
      <c r="A78" s="1846" t="s">
        <v>794</v>
      </c>
      <c r="B78" s="1847"/>
      <c r="C78" s="1847"/>
      <c r="D78" s="1847"/>
      <c r="E78" s="1847"/>
      <c r="F78" s="1847"/>
      <c r="G78" s="1847"/>
      <c r="H78" s="1847"/>
      <c r="I78" s="1847"/>
      <c r="J78" s="1847"/>
      <c r="K78" s="1847"/>
      <c r="L78" s="1847"/>
      <c r="M78" s="1847"/>
      <c r="N78" s="1847"/>
      <c r="O78" s="1848"/>
    </row>
    <row r="79" spans="1:16" ht="15" customHeight="1">
      <c r="A79" s="630"/>
      <c r="B79" s="631"/>
      <c r="C79" s="631"/>
      <c r="D79" s="631"/>
      <c r="E79" s="631"/>
      <c r="F79" s="631"/>
      <c r="G79" s="631"/>
      <c r="H79" s="631"/>
      <c r="I79" s="631"/>
      <c r="J79" s="632"/>
      <c r="K79" s="631"/>
      <c r="L79" s="631"/>
      <c r="M79" s="631"/>
      <c r="N79" s="631"/>
      <c r="O79" s="631"/>
    </row>
    <row r="80" spans="1:16">
      <c r="A80" s="633" t="s">
        <v>533</v>
      </c>
      <c r="B80" s="634" t="s">
        <v>7</v>
      </c>
      <c r="C80" s="568" t="s">
        <v>7</v>
      </c>
      <c r="D80" s="570"/>
      <c r="E80" s="1849" t="s">
        <v>10</v>
      </c>
      <c r="F80" s="1850"/>
      <c r="G80" s="1851"/>
      <c r="H80" s="1839" t="s">
        <v>11</v>
      </c>
      <c r="I80" s="1840"/>
      <c r="J80" s="1840"/>
      <c r="K80" s="1841"/>
      <c r="L80" s="1843" t="s">
        <v>12</v>
      </c>
      <c r="M80" s="1844"/>
      <c r="N80" s="1845"/>
      <c r="O80" s="678" t="s">
        <v>155</v>
      </c>
      <c r="P80" s="366" t="s">
        <v>7</v>
      </c>
    </row>
    <row r="81" spans="1:16">
      <c r="A81" s="635"/>
      <c r="B81" s="1852" t="s">
        <v>834</v>
      </c>
      <c r="C81" s="1852"/>
      <c r="D81" s="1853"/>
      <c r="E81" s="636" t="s">
        <v>15</v>
      </c>
      <c r="F81" s="636" t="s">
        <v>16</v>
      </c>
      <c r="G81" s="636" t="s">
        <v>17</v>
      </c>
      <c r="H81" s="569" t="s">
        <v>18</v>
      </c>
      <c r="I81" s="569" t="s">
        <v>19</v>
      </c>
      <c r="J81" s="569" t="s">
        <v>267</v>
      </c>
      <c r="K81" s="569" t="s">
        <v>21</v>
      </c>
      <c r="L81" s="636" t="s">
        <v>15</v>
      </c>
      <c r="M81" s="636" t="s">
        <v>16</v>
      </c>
      <c r="N81" s="636" t="s">
        <v>22</v>
      </c>
      <c r="O81" s="477" t="s">
        <v>13</v>
      </c>
      <c r="P81" s="478" t="s">
        <v>7</v>
      </c>
    </row>
    <row r="82" spans="1:16">
      <c r="A82" s="637" t="s">
        <v>156</v>
      </c>
      <c r="B82" s="536"/>
      <c r="C82" s="536"/>
      <c r="D82" s="536"/>
      <c r="E82" s="638"/>
      <c r="F82" s="568"/>
      <c r="G82" s="575"/>
      <c r="H82" s="639"/>
      <c r="I82" s="640"/>
      <c r="J82" s="641"/>
      <c r="K82" s="571"/>
      <c r="L82" s="638"/>
      <c r="M82" s="642"/>
      <c r="N82" s="575"/>
      <c r="O82" s="577"/>
    </row>
    <row r="83" spans="1:16">
      <c r="A83" s="643"/>
      <c r="B83" s="579" t="s">
        <v>824</v>
      </c>
      <c r="C83" s="579"/>
      <c r="D83" s="579"/>
      <c r="E83" s="644"/>
      <c r="F83" s="582"/>
      <c r="G83" s="645"/>
      <c r="H83" s="646">
        <f>'Trellis Materials '!E46</f>
        <v>4219.8</v>
      </c>
      <c r="I83" s="647" t="s">
        <v>825</v>
      </c>
      <c r="J83" s="754">
        <v>1</v>
      </c>
      <c r="K83" s="646">
        <f>H83*J83</f>
        <v>4219.8</v>
      </c>
      <c r="L83" s="755">
        <v>2</v>
      </c>
      <c r="M83" s="586">
        <f>'Trellis Labor'!H52</f>
        <v>9.9699846153846163</v>
      </c>
      <c r="N83" s="587">
        <f>L83*M83</f>
        <v>19.939969230769233</v>
      </c>
      <c r="O83" s="588">
        <f>$N83+$K83+$G83</f>
        <v>4239.739969230769</v>
      </c>
    </row>
    <row r="84" spans="1:16" s="501" customFormat="1" ht="12.75">
      <c r="A84" s="589"/>
      <c r="B84" s="502" t="s">
        <v>826</v>
      </c>
      <c r="C84" s="590"/>
      <c r="D84" s="590"/>
      <c r="E84" s="648"/>
      <c r="F84" s="593"/>
      <c r="G84" s="598"/>
      <c r="H84" s="597"/>
      <c r="I84" s="596"/>
      <c r="J84" s="597"/>
      <c r="K84" s="594"/>
      <c r="L84" s="756">
        <v>5</v>
      </c>
      <c r="M84" s="586">
        <f>'Trellis Labor'!H52</f>
        <v>9.9699846153846163</v>
      </c>
      <c r="N84" s="587">
        <f>L84*M84</f>
        <v>49.849923076923083</v>
      </c>
      <c r="O84" s="588">
        <f>$N84+$K84+$G84</f>
        <v>49.849923076923083</v>
      </c>
    </row>
    <row r="85" spans="1:16" s="501" customFormat="1" ht="12.75">
      <c r="A85" s="589"/>
      <c r="B85" s="502" t="s">
        <v>836</v>
      </c>
      <c r="C85" s="590"/>
      <c r="D85" s="591"/>
      <c r="E85" s="649"/>
      <c r="G85" s="650"/>
      <c r="H85" s="651"/>
      <c r="I85" s="596"/>
      <c r="J85" s="603"/>
      <c r="K85" s="594"/>
      <c r="L85" s="756">
        <v>45</v>
      </c>
      <c r="M85" s="586">
        <f>'Trellis Labor'!H52</f>
        <v>9.9699846153846163</v>
      </c>
      <c r="N85" s="587">
        <f>L85*M85</f>
        <v>448.64930769230773</v>
      </c>
      <c r="O85" s="588">
        <f>$N85+$K85+$G85</f>
        <v>448.64930769230773</v>
      </c>
    </row>
    <row r="86" spans="1:16" s="501" customFormat="1" ht="12.75">
      <c r="A86" s="589"/>
      <c r="B86" s="1837" t="s">
        <v>837</v>
      </c>
      <c r="C86" s="1837"/>
      <c r="D86" s="1838"/>
      <c r="E86" s="756">
        <v>15</v>
      </c>
      <c r="F86" s="652">
        <f>'Trellis Equipment'!H18+'Trellis Equipment'!H21</f>
        <v>12.643916238500001</v>
      </c>
      <c r="G86" s="599">
        <f>E86*F86</f>
        <v>189.65874357750002</v>
      </c>
      <c r="H86" s="651"/>
      <c r="I86" s="596"/>
      <c r="J86" s="603"/>
      <c r="K86" s="594"/>
      <c r="L86" s="653"/>
      <c r="M86" s="586"/>
      <c r="N86" s="587"/>
      <c r="O86" s="588">
        <f>$N86+$K86+$G86</f>
        <v>189.65874357750002</v>
      </c>
    </row>
    <row r="87" spans="1:16">
      <c r="A87" s="589"/>
      <c r="B87" s="502" t="s">
        <v>842</v>
      </c>
      <c r="C87" s="590"/>
      <c r="D87" s="590"/>
      <c r="E87" s="648"/>
      <c r="F87" s="593"/>
      <c r="G87" s="598"/>
      <c r="H87" s="651"/>
      <c r="I87" s="596"/>
      <c r="J87" s="603"/>
      <c r="K87" s="594"/>
      <c r="L87" s="756">
        <v>100</v>
      </c>
      <c r="M87" s="586">
        <f>'Trellis Labor'!H52</f>
        <v>9.9699846153846163</v>
      </c>
      <c r="N87" s="599">
        <f>L87*M87</f>
        <v>996.99846153846158</v>
      </c>
      <c r="O87" s="600">
        <f>G87+K87+N87</f>
        <v>996.99846153846158</v>
      </c>
      <c r="P87" s="490"/>
    </row>
    <row r="88" spans="1:16">
      <c r="A88" s="589"/>
      <c r="B88" s="1831" t="s">
        <v>843</v>
      </c>
      <c r="C88" s="1831"/>
      <c r="D88" s="1832"/>
      <c r="E88" s="742">
        <v>9</v>
      </c>
      <c r="F88" s="497">
        <f>'Trellis Equipment'!H20</f>
        <v>2.6077499999999998</v>
      </c>
      <c r="G88" s="654">
        <f>E88*F88</f>
        <v>23.469749999999998</v>
      </c>
      <c r="H88" s="651"/>
      <c r="I88" s="596"/>
      <c r="J88" s="603"/>
      <c r="K88" s="594"/>
      <c r="L88" s="655"/>
      <c r="M88" s="586"/>
      <c r="N88" s="599"/>
      <c r="O88" s="600">
        <f>G88+K88+N88</f>
        <v>23.469749999999998</v>
      </c>
      <c r="P88" s="490"/>
    </row>
    <row r="89" spans="1:16">
      <c r="A89" s="589"/>
      <c r="B89" s="1833" t="s">
        <v>828</v>
      </c>
      <c r="C89" s="1833"/>
      <c r="D89" s="1834"/>
      <c r="E89" s="592"/>
      <c r="F89" s="593"/>
      <c r="G89" s="594"/>
      <c r="H89" s="602"/>
      <c r="I89" s="596"/>
      <c r="J89" s="603"/>
      <c r="K89" s="598"/>
      <c r="L89" s="745">
        <v>14</v>
      </c>
      <c r="M89" s="586">
        <f>'Trellis Labor'!H52</f>
        <v>9.9699846153846163</v>
      </c>
      <c r="N89" s="599">
        <f>L89*M89</f>
        <v>139.57978461538463</v>
      </c>
      <c r="O89" s="600">
        <f>G89+K89+N89</f>
        <v>139.57978461538463</v>
      </c>
      <c r="P89" s="490"/>
    </row>
    <row r="90" spans="1:16">
      <c r="A90" s="589"/>
      <c r="B90" s="1835" t="s">
        <v>829</v>
      </c>
      <c r="C90" s="1835"/>
      <c r="D90" s="1836"/>
      <c r="E90" s="728">
        <v>25</v>
      </c>
      <c r="F90" s="517">
        <f>'Trellis Equipment'!H19</f>
        <v>0.38602604166666665</v>
      </c>
      <c r="G90" s="518">
        <f>E90*F90</f>
        <v>9.6506510416666664</v>
      </c>
      <c r="H90" s="519"/>
      <c r="I90" s="520"/>
      <c r="J90" s="521"/>
      <c r="K90" s="522"/>
      <c r="L90" s="728">
        <v>1</v>
      </c>
      <c r="M90" s="586">
        <f>'Trellis Labor'!H52</f>
        <v>9.9699846153846163</v>
      </c>
      <c r="N90" s="599">
        <f>L90*M90</f>
        <v>9.9699846153846163</v>
      </c>
      <c r="O90" s="499">
        <f>G90+K90+N90</f>
        <v>19.620635657051281</v>
      </c>
      <c r="P90" s="490"/>
    </row>
    <row r="91" spans="1:16" s="534" customFormat="1">
      <c r="A91" s="523" t="s">
        <v>830</v>
      </c>
      <c r="B91" s="524"/>
      <c r="C91" s="524"/>
      <c r="D91" s="524"/>
      <c r="E91" s="656">
        <f>SUM(E86+E88+E90)</f>
        <v>49</v>
      </c>
      <c r="F91" s="656">
        <f>SUM(F86+F88+F90)</f>
        <v>15.637692280166666</v>
      </c>
      <c r="G91" s="609">
        <f>SUM(G82:G90)</f>
        <v>222.77914461916669</v>
      </c>
      <c r="H91" s="608"/>
      <c r="I91" s="607"/>
      <c r="J91" s="608"/>
      <c r="K91" s="605">
        <f>SUM(K82:K87)</f>
        <v>4219.8</v>
      </c>
      <c r="L91" s="606">
        <f>SUM(L84:L90)</f>
        <v>165</v>
      </c>
      <c r="M91" s="608"/>
      <c r="N91" s="609">
        <f>SUM(N82:N87)</f>
        <v>1515.4376615384617</v>
      </c>
      <c r="O91" s="746">
        <f>SUM(O83:O90)</f>
        <v>6107.5665753883977</v>
      </c>
      <c r="P91" s="533"/>
    </row>
    <row r="92" spans="1:16">
      <c r="A92" s="610" t="s">
        <v>157</v>
      </c>
      <c r="B92" s="552"/>
      <c r="C92" s="552"/>
      <c r="D92" s="552"/>
      <c r="E92" s="613"/>
      <c r="F92" s="552"/>
      <c r="G92" s="577" t="s">
        <v>7</v>
      </c>
      <c r="H92" s="657"/>
      <c r="I92" s="552"/>
      <c r="J92" s="612"/>
      <c r="K92" s="579"/>
      <c r="L92" s="589"/>
      <c r="M92" s="536"/>
      <c r="N92" s="580"/>
      <c r="O92" s="615" t="s">
        <v>7</v>
      </c>
      <c r="P92" s="490"/>
    </row>
    <row r="93" spans="1:16" ht="30" customHeight="1">
      <c r="A93" s="658"/>
      <c r="B93" s="1854" t="s">
        <v>844</v>
      </c>
      <c r="C93" s="1854"/>
      <c r="D93" s="1854"/>
      <c r="E93" s="544"/>
      <c r="F93" s="659"/>
      <c r="G93" s="660"/>
      <c r="H93" s="659"/>
      <c r="I93" s="621"/>
      <c r="J93" s="612"/>
      <c r="K93" s="659"/>
      <c r="L93" s="757">
        <v>20</v>
      </c>
      <c r="M93" s="661">
        <f>'Trellis Labor'!H52</f>
        <v>9.9699846153846163</v>
      </c>
      <c r="N93" s="662">
        <f>L93*M93</f>
        <v>199.39969230769233</v>
      </c>
      <c r="O93" s="663">
        <f>N93+K93+G93</f>
        <v>199.39969230769233</v>
      </c>
      <c r="P93" s="490"/>
    </row>
    <row r="94" spans="1:16" ht="30" customHeight="1">
      <c r="A94" s="658"/>
      <c r="B94" s="1854" t="s">
        <v>844</v>
      </c>
      <c r="C94" s="1854"/>
      <c r="D94" s="1854"/>
      <c r="E94" s="664" t="s">
        <v>7</v>
      </c>
      <c r="F94" s="659"/>
      <c r="G94" s="660"/>
      <c r="H94" s="659"/>
      <c r="I94" s="621"/>
      <c r="J94" s="612"/>
      <c r="K94" s="659"/>
      <c r="L94" s="757">
        <v>20</v>
      </c>
      <c r="M94" s="661">
        <f>'Trellis Labor'!H52</f>
        <v>9.9699846153846163</v>
      </c>
      <c r="N94" s="662">
        <f>L94*M94</f>
        <v>199.39969230769233</v>
      </c>
      <c r="O94" s="663">
        <f>N94+K94+G94</f>
        <v>199.39969230769233</v>
      </c>
      <c r="P94" s="490"/>
    </row>
    <row r="95" spans="1:16">
      <c r="A95" s="658"/>
      <c r="B95" s="561" t="s">
        <v>142</v>
      </c>
      <c r="C95" s="561"/>
      <c r="D95" s="561"/>
      <c r="E95" s="644"/>
      <c r="F95" s="618"/>
      <c r="G95" s="758">
        <v>0</v>
      </c>
      <c r="H95" s="618"/>
      <c r="I95" s="596"/>
      <c r="J95" s="620"/>
      <c r="K95" s="747">
        <v>0</v>
      </c>
      <c r="L95" s="759">
        <v>20</v>
      </c>
      <c r="M95" s="586">
        <f>'Trellis Labor'!H52</f>
        <v>9.9699846153846163</v>
      </c>
      <c r="N95" s="585">
        <f>L95*M95</f>
        <v>199.39969230769233</v>
      </c>
      <c r="O95" s="600">
        <f>G95+K95+N95</f>
        <v>199.39969230769233</v>
      </c>
      <c r="P95" s="490"/>
    </row>
    <row r="96" spans="1:16">
      <c r="A96" s="523" t="s">
        <v>831</v>
      </c>
      <c r="B96" s="524"/>
      <c r="C96" s="524"/>
      <c r="D96" s="524"/>
      <c r="E96" s="656"/>
      <c r="F96" s="665"/>
      <c r="G96" s="609">
        <f>SUM(G95:G95)</f>
        <v>0</v>
      </c>
      <c r="H96" s="608"/>
      <c r="I96" s="607"/>
      <c r="J96" s="608"/>
      <c r="K96" s="605">
        <f>SUM(K95:K95)</f>
        <v>0</v>
      </c>
      <c r="L96" s="606">
        <f>SUM(L93:L95)</f>
        <v>60</v>
      </c>
      <c r="M96" s="608"/>
      <c r="N96" s="609">
        <f>SUM(N93:N95)</f>
        <v>598.19907692307697</v>
      </c>
      <c r="O96" s="746">
        <f>SUM(O93:O95)</f>
        <v>598.19907692307697</v>
      </c>
      <c r="P96" s="533"/>
    </row>
    <row r="97" spans="1:16">
      <c r="A97" s="610" t="s">
        <v>817</v>
      </c>
      <c r="B97" s="552"/>
      <c r="C97" s="552"/>
      <c r="D97" s="552"/>
      <c r="E97" s="622"/>
      <c r="F97" s="581"/>
      <c r="G97" s="577" t="s">
        <v>7</v>
      </c>
      <c r="H97" s="657"/>
      <c r="I97" s="621"/>
      <c r="J97" s="612"/>
      <c r="K97" s="571"/>
      <c r="L97" s="666"/>
      <c r="M97" s="667"/>
      <c r="N97" s="588"/>
      <c r="O97" s="588"/>
    </row>
    <row r="98" spans="1:16" ht="30" customHeight="1">
      <c r="A98" s="658"/>
      <c r="B98" s="1854" t="s">
        <v>844</v>
      </c>
      <c r="C98" s="1854"/>
      <c r="D98" s="1854"/>
      <c r="E98" s="622"/>
      <c r="F98" s="659"/>
      <c r="G98" s="660"/>
      <c r="H98" s="659"/>
      <c r="I98" s="621"/>
      <c r="J98" s="612"/>
      <c r="K98" s="659"/>
      <c r="L98" s="760">
        <v>20</v>
      </c>
      <c r="M98" s="668">
        <f>'Trellis Labor'!H52</f>
        <v>9.9699846153846163</v>
      </c>
      <c r="N98" s="669">
        <f>L98*M98</f>
        <v>199.39969230769233</v>
      </c>
      <c r="O98" s="670">
        <f>N98+K98+G98</f>
        <v>199.39969230769233</v>
      </c>
    </row>
    <row r="99" spans="1:16" ht="30" customHeight="1">
      <c r="A99" s="658"/>
      <c r="B99" s="1854" t="s">
        <v>844</v>
      </c>
      <c r="C99" s="1854"/>
      <c r="D99" s="1854"/>
      <c r="E99" s="622"/>
      <c r="F99" s="659"/>
      <c r="G99" s="660"/>
      <c r="H99" s="659"/>
      <c r="I99" s="621"/>
      <c r="J99" s="612"/>
      <c r="K99" s="659"/>
      <c r="L99" s="760">
        <v>20</v>
      </c>
      <c r="M99" s="668">
        <f>'Trellis Labor'!H52</f>
        <v>9.9699846153846163</v>
      </c>
      <c r="N99" s="669">
        <f>L99*M99</f>
        <v>199.39969230769233</v>
      </c>
      <c r="O99" s="670">
        <f>N99+K99+G99</f>
        <v>199.39969230769233</v>
      </c>
    </row>
    <row r="100" spans="1:16">
      <c r="A100" s="658"/>
      <c r="B100" s="561" t="s">
        <v>142</v>
      </c>
      <c r="C100" s="561"/>
      <c r="D100" s="561"/>
      <c r="E100" s="644"/>
      <c r="F100" s="618"/>
      <c r="G100" s="758">
        <v>0</v>
      </c>
      <c r="H100" s="618"/>
      <c r="I100" s="596"/>
      <c r="J100" s="620"/>
      <c r="K100" s="747">
        <v>0</v>
      </c>
      <c r="L100" s="755">
        <v>20</v>
      </c>
      <c r="M100" s="586">
        <f>'Trellis Labor'!H52</f>
        <v>9.9699846153846163</v>
      </c>
      <c r="N100" s="585">
        <f>L100*M100</f>
        <v>199.39969230769233</v>
      </c>
      <c r="O100" s="600">
        <f>G100+K100+N100</f>
        <v>199.39969230769233</v>
      </c>
    </row>
    <row r="101" spans="1:16">
      <c r="A101" s="523" t="s">
        <v>832</v>
      </c>
      <c r="B101" s="524"/>
      <c r="C101" s="524"/>
      <c r="D101" s="524"/>
      <c r="E101" s="671"/>
      <c r="F101" s="672"/>
      <c r="G101" s="609">
        <f>SUM(G98:G100)</f>
        <v>0</v>
      </c>
      <c r="H101" s="608"/>
      <c r="I101" s="608"/>
      <c r="J101" s="608"/>
      <c r="K101" s="605">
        <v>0</v>
      </c>
      <c r="L101" s="606">
        <f>SUM(L98:L100)</f>
        <v>60</v>
      </c>
      <c r="M101" s="608"/>
      <c r="N101" s="609">
        <f>SUM(N98:N100)</f>
        <v>598.19907692307697</v>
      </c>
      <c r="O101" s="746">
        <f>SUM(O98:O100)</f>
        <v>598.19907692307697</v>
      </c>
      <c r="P101" s="533"/>
    </row>
    <row r="102" spans="1:16">
      <c r="A102" s="734" t="s">
        <v>833</v>
      </c>
      <c r="B102" s="735"/>
      <c r="C102" s="735"/>
      <c r="D102" s="735"/>
      <c r="E102" s="761" t="s">
        <v>7</v>
      </c>
      <c r="F102" s="762"/>
      <c r="G102" s="673">
        <f>SUM(G101,G91,G96)</f>
        <v>222.77914461916669</v>
      </c>
      <c r="H102" s="752"/>
      <c r="I102" s="752"/>
      <c r="J102" s="752"/>
      <c r="K102" s="624">
        <f>SUM(K101,K96,K91)</f>
        <v>4219.8</v>
      </c>
      <c r="L102" s="751"/>
      <c r="M102" s="752"/>
      <c r="N102" s="673">
        <f>SUM(N101,N96,N91)</f>
        <v>2711.8358153846157</v>
      </c>
      <c r="O102" s="763">
        <f>SUM(O101,O96,O91)</f>
        <v>7303.9647292345517</v>
      </c>
      <c r="P102" s="533"/>
    </row>
    <row r="103" spans="1:16" s="490" customFormat="1">
      <c r="A103" s="627"/>
      <c r="B103" s="627"/>
      <c r="C103" s="627"/>
      <c r="D103" s="627"/>
      <c r="E103" s="627"/>
      <c r="F103" s="627"/>
      <c r="G103" s="628"/>
      <c r="H103" s="628"/>
      <c r="I103" s="627"/>
      <c r="J103" s="629"/>
      <c r="K103" s="628"/>
      <c r="L103" s="627"/>
      <c r="M103" s="627"/>
      <c r="N103" s="628"/>
      <c r="O103" s="628"/>
      <c r="P103" s="533"/>
    </row>
    <row r="104" spans="1:16" s="490" customFormat="1">
      <c r="A104" s="1856" t="s">
        <v>845</v>
      </c>
      <c r="B104" s="1856"/>
      <c r="C104" s="1856"/>
      <c r="D104" s="1856"/>
      <c r="E104" s="1856"/>
      <c r="F104" s="1856"/>
      <c r="G104" s="1856"/>
      <c r="H104" s="628"/>
      <c r="I104" s="627"/>
      <c r="J104" s="629"/>
      <c r="K104" s="628"/>
      <c r="L104" s="627"/>
      <c r="M104" s="627"/>
      <c r="N104" s="628"/>
      <c r="O104" s="628"/>
      <c r="P104" s="533"/>
    </row>
    <row r="105" spans="1:16" s="490" customFormat="1">
      <c r="A105" s="1857" t="s">
        <v>846</v>
      </c>
      <c r="B105" s="1857"/>
      <c r="C105" s="1857"/>
      <c r="D105" s="1857"/>
      <c r="E105" s="627"/>
      <c r="F105" s="627"/>
      <c r="G105" s="628"/>
      <c r="H105" s="628"/>
      <c r="I105" s="627"/>
      <c r="J105" s="629"/>
      <c r="K105" s="628"/>
      <c r="L105" s="627"/>
      <c r="M105" s="627"/>
      <c r="N105" s="628"/>
      <c r="O105" s="628"/>
      <c r="P105" s="533"/>
    </row>
    <row r="106" spans="1:16">
      <c r="A106" s="1855" t="s">
        <v>847</v>
      </c>
      <c r="B106" s="1855"/>
      <c r="C106" s="1855"/>
      <c r="D106" s="1855"/>
      <c r="L106" s="534"/>
      <c r="M106" s="534"/>
      <c r="N106" s="534"/>
      <c r="O106" s="534"/>
    </row>
    <row r="107" spans="1:16">
      <c r="A107" s="1855" t="s">
        <v>848</v>
      </c>
      <c r="B107" s="1855"/>
      <c r="C107" s="1855"/>
      <c r="D107" s="1855"/>
    </row>
    <row r="116" spans="2:4">
      <c r="B116" s="674"/>
      <c r="C116" s="674"/>
      <c r="D116" s="675"/>
    </row>
  </sheetData>
  <mergeCells count="103">
    <mergeCell ref="A107:D107"/>
    <mergeCell ref="B94:D94"/>
    <mergeCell ref="B98:D98"/>
    <mergeCell ref="B99:D99"/>
    <mergeCell ref="A104:G104"/>
    <mergeCell ref="A105:D105"/>
    <mergeCell ref="A106:D106"/>
    <mergeCell ref="B81:D81"/>
    <mergeCell ref="B86:D86"/>
    <mergeCell ref="B88:D88"/>
    <mergeCell ref="B89:D89"/>
    <mergeCell ref="B90:D90"/>
    <mergeCell ref="B93:D93"/>
    <mergeCell ref="B66:D66"/>
    <mergeCell ref="B67:D67"/>
    <mergeCell ref="B68:D68"/>
    <mergeCell ref="A78:O78"/>
    <mergeCell ref="E80:G80"/>
    <mergeCell ref="H80:K80"/>
    <mergeCell ref="L80:N80"/>
    <mergeCell ref="B51:D51"/>
    <mergeCell ref="A60:O60"/>
    <mergeCell ref="E61:G61"/>
    <mergeCell ref="H61:K61"/>
    <mergeCell ref="L61:N61"/>
    <mergeCell ref="B62:D62"/>
    <mergeCell ref="B45:C45"/>
    <mergeCell ref="B46:D46"/>
    <mergeCell ref="B47:D47"/>
    <mergeCell ref="B48:D48"/>
    <mergeCell ref="B49:D49"/>
    <mergeCell ref="B50:D50"/>
    <mergeCell ref="E40:G40"/>
    <mergeCell ref="H40:K40"/>
    <mergeCell ref="L40:N40"/>
    <mergeCell ref="B41:D41"/>
    <mergeCell ref="B43:D43"/>
    <mergeCell ref="B44:D44"/>
    <mergeCell ref="B26:D26"/>
    <mergeCell ref="B27:D27"/>
    <mergeCell ref="B28:D28"/>
    <mergeCell ref="B29:D29"/>
    <mergeCell ref="B30:D30"/>
    <mergeCell ref="A39:O39"/>
    <mergeCell ref="A20:O20"/>
    <mergeCell ref="A21:O21"/>
    <mergeCell ref="E23:G23"/>
    <mergeCell ref="H23:K23"/>
    <mergeCell ref="L23:N23"/>
    <mergeCell ref="B24:D24"/>
    <mergeCell ref="A17:B17"/>
    <mergeCell ref="F17:G17"/>
    <mergeCell ref="H17:J17"/>
    <mergeCell ref="N17:O17"/>
    <mergeCell ref="A18:B18"/>
    <mergeCell ref="F18:G18"/>
    <mergeCell ref="H18:J18"/>
    <mergeCell ref="N18:O18"/>
    <mergeCell ref="A15:B15"/>
    <mergeCell ref="F15:G15"/>
    <mergeCell ref="H15:J15"/>
    <mergeCell ref="N15:O15"/>
    <mergeCell ref="A16:B16"/>
    <mergeCell ref="F16:G16"/>
    <mergeCell ref="H16:J16"/>
    <mergeCell ref="N16:O16"/>
    <mergeCell ref="A13:B13"/>
    <mergeCell ref="F13:G13"/>
    <mergeCell ref="H13:J13"/>
    <mergeCell ref="N13:O13"/>
    <mergeCell ref="A14:B14"/>
    <mergeCell ref="F14:G14"/>
    <mergeCell ref="H14:J14"/>
    <mergeCell ref="N14:O14"/>
    <mergeCell ref="A9:B9"/>
    <mergeCell ref="F9:G9"/>
    <mergeCell ref="H9:J9"/>
    <mergeCell ref="N9:O9"/>
    <mergeCell ref="A12:G12"/>
    <mergeCell ref="H12:O12"/>
    <mergeCell ref="A7:B7"/>
    <mergeCell ref="F7:G7"/>
    <mergeCell ref="H7:J7"/>
    <mergeCell ref="N7:O7"/>
    <mergeCell ref="A8:B8"/>
    <mergeCell ref="F8:G8"/>
    <mergeCell ref="H8:J8"/>
    <mergeCell ref="N8:O8"/>
    <mergeCell ref="A5:B5"/>
    <mergeCell ref="F5:G5"/>
    <mergeCell ref="H5:J5"/>
    <mergeCell ref="N5:O5"/>
    <mergeCell ref="A6:B6"/>
    <mergeCell ref="F6:G6"/>
    <mergeCell ref="H6:J6"/>
    <mergeCell ref="N6:O6"/>
    <mergeCell ref="A1:O1"/>
    <mergeCell ref="A3:G3"/>
    <mergeCell ref="H3:O3"/>
    <mergeCell ref="A4:B4"/>
    <mergeCell ref="F4:G4"/>
    <mergeCell ref="H4:J4"/>
    <mergeCell ref="N4:O4"/>
  </mergeCells>
  <pageMargins left="0.6" right="0.51" top="0.32" bottom="0.35" header="0.3" footer="0.3"/>
  <pageSetup orientation="landscape" horizontalDpi="1200" verticalDpi="1200"/>
  <headerFooter alignWithMargins="0"/>
</worksheet>
</file>

<file path=xl/worksheets/sheet3.xml><?xml version="1.0" encoding="utf-8"?>
<worksheet xmlns="http://schemas.openxmlformats.org/spreadsheetml/2006/main" xmlns:r="http://schemas.openxmlformats.org/officeDocument/2006/relationships">
  <sheetPr enableFormatConditionsCalculation="0">
    <tabColor rgb="FF7030A0"/>
  </sheetPr>
  <dimension ref="A1:J54"/>
  <sheetViews>
    <sheetView zoomScale="125" zoomScaleNormal="125" workbookViewId="0">
      <selection activeCell="G57" sqref="G57"/>
    </sheetView>
  </sheetViews>
  <sheetFormatPr defaultColWidth="8.85546875" defaultRowHeight="12.75"/>
  <sheetData>
    <row r="1" spans="1:10">
      <c r="A1" s="1610" t="s">
        <v>482</v>
      </c>
      <c r="B1" s="1610"/>
      <c r="C1" s="1610"/>
      <c r="D1" s="1610"/>
      <c r="E1" s="1610"/>
      <c r="F1" s="1610"/>
      <c r="G1" s="1610"/>
      <c r="H1" s="1610"/>
      <c r="I1" s="1610"/>
      <c r="J1" s="1610"/>
    </row>
    <row r="2" spans="1:10" ht="13.5" thickBot="1">
      <c r="A2" t="s">
        <v>7</v>
      </c>
      <c r="E2" t="s">
        <v>7</v>
      </c>
      <c r="G2" t="s">
        <v>7</v>
      </c>
    </row>
    <row r="3" spans="1:10">
      <c r="A3" s="132"/>
      <c r="B3" s="132"/>
      <c r="C3" s="133"/>
      <c r="D3" s="133"/>
      <c r="E3" s="133"/>
      <c r="F3" s="270" t="s">
        <v>144</v>
      </c>
      <c r="G3" s="270" t="s">
        <v>145</v>
      </c>
      <c r="H3" s="270" t="s">
        <v>146</v>
      </c>
      <c r="I3" s="270" t="s">
        <v>147</v>
      </c>
      <c r="J3" s="270" t="s">
        <v>483</v>
      </c>
    </row>
    <row r="4" spans="1:10" ht="13.5" thickBot="1">
      <c r="A4" s="134" t="s">
        <v>8</v>
      </c>
      <c r="B4" s="134" t="s">
        <v>484</v>
      </c>
      <c r="C4" s="134"/>
      <c r="D4" s="135"/>
      <c r="E4" s="135"/>
      <c r="F4" s="157" t="s">
        <v>249</v>
      </c>
      <c r="G4" s="157" t="s">
        <v>249</v>
      </c>
      <c r="H4" s="157" t="s">
        <v>249</v>
      </c>
      <c r="I4" s="157" t="s">
        <v>249</v>
      </c>
      <c r="J4" s="157" t="s">
        <v>249</v>
      </c>
    </row>
    <row r="5" spans="1:10">
      <c r="F5" s="1614" t="s">
        <v>728</v>
      </c>
      <c r="G5" s="1614"/>
      <c r="H5" s="1614"/>
      <c r="I5" s="1614"/>
    </row>
    <row r="6" spans="1:10">
      <c r="A6" t="s">
        <v>69</v>
      </c>
    </row>
    <row r="7" spans="1:10">
      <c r="B7" t="s">
        <v>68</v>
      </c>
      <c r="F7" s="136">
        <f>Year0!I7</f>
        <v>0</v>
      </c>
      <c r="G7" s="136">
        <f>Year0!M7</f>
        <v>25</v>
      </c>
      <c r="H7" s="136">
        <f>Year0!P7</f>
        <v>40.679630769230776</v>
      </c>
      <c r="I7" s="136">
        <f>Year0!Q7</f>
        <v>65.679630769230783</v>
      </c>
      <c r="J7" s="74"/>
    </row>
    <row r="8" spans="1:10">
      <c r="A8" s="137" t="s">
        <v>74</v>
      </c>
      <c r="B8" s="138"/>
      <c r="C8" s="138"/>
      <c r="D8" s="138"/>
      <c r="E8" s="189"/>
      <c r="F8" s="191">
        <f>Year0!I8</f>
        <v>0</v>
      </c>
      <c r="G8" s="191">
        <f>Year0!M8</f>
        <v>25</v>
      </c>
      <c r="H8" s="191">
        <f>Year0!P8</f>
        <v>40.679630769230776</v>
      </c>
      <c r="I8" s="191">
        <f>Year0!Q8</f>
        <v>65.679630769230783</v>
      </c>
      <c r="J8" s="139"/>
    </row>
    <row r="9" spans="1:10">
      <c r="A9" t="s">
        <v>57</v>
      </c>
      <c r="F9" s="192" t="s">
        <v>7</v>
      </c>
      <c r="G9" s="192" t="s">
        <v>7</v>
      </c>
      <c r="H9" s="192" t="s">
        <v>7</v>
      </c>
      <c r="I9" s="192" t="s">
        <v>7</v>
      </c>
    </row>
    <row r="10" spans="1:10">
      <c r="B10" t="s">
        <v>485</v>
      </c>
      <c r="E10" t="s">
        <v>7</v>
      </c>
      <c r="F10" s="136">
        <f>Year0!I10</f>
        <v>0</v>
      </c>
      <c r="G10" s="136">
        <f>Year0!M10</f>
        <v>6</v>
      </c>
      <c r="H10" s="136">
        <f>Year0!P10</f>
        <v>0</v>
      </c>
      <c r="I10" s="136">
        <f>Year0!Q10</f>
        <v>6</v>
      </c>
      <c r="J10" s="74"/>
    </row>
    <row r="11" spans="1:10">
      <c r="B11" t="s">
        <v>30</v>
      </c>
      <c r="E11" t="s">
        <v>7</v>
      </c>
      <c r="F11" s="136">
        <f>Year0!I11</f>
        <v>0</v>
      </c>
      <c r="G11" s="136">
        <f>Year0!M11</f>
        <v>0</v>
      </c>
      <c r="H11" s="136">
        <f>Year0!P11</f>
        <v>4.2374615384615391</v>
      </c>
      <c r="I11" s="136">
        <f>Year0!Q11</f>
        <v>4.2374615384615391</v>
      </c>
      <c r="J11" s="139"/>
    </row>
    <row r="12" spans="1:10">
      <c r="B12" t="s">
        <v>70</v>
      </c>
      <c r="F12" s="136">
        <f>Year0!I12</f>
        <v>0</v>
      </c>
      <c r="G12" s="136">
        <f>Year0!M12</f>
        <v>2</v>
      </c>
      <c r="H12" s="136">
        <f>Year0!P12</f>
        <v>4.2374615384615391</v>
      </c>
      <c r="I12" s="136">
        <f>Year0!Q12</f>
        <v>6.2374615384615391</v>
      </c>
      <c r="J12" s="139"/>
    </row>
    <row r="13" spans="1:10">
      <c r="A13" s="137" t="s">
        <v>58</v>
      </c>
      <c r="B13" s="138"/>
      <c r="C13" s="138"/>
      <c r="D13" s="138"/>
      <c r="E13" s="189"/>
      <c r="F13" s="191">
        <f>Year0!I13</f>
        <v>0</v>
      </c>
      <c r="G13" s="191">
        <f>Year0!M13</f>
        <v>8</v>
      </c>
      <c r="H13" s="191">
        <f>Year0!P13</f>
        <v>8.4749230769230781</v>
      </c>
      <c r="I13" s="191">
        <f>Year0!Q13</f>
        <v>16.474923076923076</v>
      </c>
      <c r="J13" s="139"/>
    </row>
    <row r="14" spans="1:10">
      <c r="A14" t="s">
        <v>28</v>
      </c>
      <c r="F14" s="192" t="s">
        <v>7</v>
      </c>
      <c r="G14" s="192" t="s">
        <v>7</v>
      </c>
      <c r="H14" s="192" t="s">
        <v>7</v>
      </c>
      <c r="I14" s="192" t="s">
        <v>7</v>
      </c>
    </row>
    <row r="15" spans="1:10">
      <c r="B15" t="s">
        <v>485</v>
      </c>
      <c r="E15" t="s">
        <v>7</v>
      </c>
      <c r="F15" s="136">
        <f>Year0!I15</f>
        <v>0</v>
      </c>
      <c r="G15" s="136">
        <f>Year0!M15</f>
        <v>6</v>
      </c>
      <c r="H15" s="136">
        <f>Year0!P15</f>
        <v>0</v>
      </c>
      <c r="I15" s="136">
        <f>Year0!Q15</f>
        <v>6</v>
      </c>
      <c r="J15" s="74"/>
    </row>
    <row r="16" spans="1:10">
      <c r="B16" t="s">
        <v>6</v>
      </c>
      <c r="F16" s="136">
        <f>Year0!I16</f>
        <v>0</v>
      </c>
      <c r="G16" s="136">
        <f>Year0!M16</f>
        <v>0</v>
      </c>
      <c r="H16" s="136">
        <f>Year0!P16</f>
        <v>203.39815384615389</v>
      </c>
      <c r="I16" s="136">
        <f>Year0!Q16</f>
        <v>203.39815384615389</v>
      </c>
      <c r="J16" s="139"/>
    </row>
    <row r="17" spans="1:10">
      <c r="B17" t="s">
        <v>32</v>
      </c>
      <c r="E17" t="s">
        <v>7</v>
      </c>
      <c r="F17" s="136">
        <f>Year0!I17</f>
        <v>5.873084638191</v>
      </c>
      <c r="G17" s="136">
        <f>Year0!M17</f>
        <v>0</v>
      </c>
      <c r="H17" s="136">
        <f>Year0!P17</f>
        <v>4.2408515076923079</v>
      </c>
      <c r="I17" s="136">
        <f>Year0!Q17</f>
        <v>10.113936145883308</v>
      </c>
      <c r="J17" s="139"/>
    </row>
    <row r="18" spans="1:10">
      <c r="C18" t="s">
        <v>291</v>
      </c>
      <c r="F18" s="136">
        <f>Year0!I18</f>
        <v>0</v>
      </c>
      <c r="G18" s="136">
        <f>Year0!M18</f>
        <v>15.75</v>
      </c>
      <c r="H18" s="136">
        <f>Year0!P18</f>
        <v>0</v>
      </c>
      <c r="I18" s="136">
        <f>Year0!Q18</f>
        <v>15.75</v>
      </c>
      <c r="J18" s="139"/>
    </row>
    <row r="19" spans="1:10">
      <c r="B19" t="s">
        <v>33</v>
      </c>
      <c r="E19" t="s">
        <v>7</v>
      </c>
      <c r="F19" s="136">
        <f>Year0!I19</f>
        <v>16.720666872800003</v>
      </c>
      <c r="G19" s="136">
        <f>Year0!M19</f>
        <v>0</v>
      </c>
      <c r="H19" s="136">
        <f>Year0!P19</f>
        <v>11.186898461538464</v>
      </c>
      <c r="I19" s="136">
        <f>Year0!Q19</f>
        <v>27.907565334338464</v>
      </c>
      <c r="J19" s="139"/>
    </row>
    <row r="20" spans="1:10">
      <c r="B20" t="s">
        <v>34</v>
      </c>
      <c r="E20" t="s">
        <v>7</v>
      </c>
      <c r="F20" s="136">
        <f>Year0!I20</f>
        <v>8.8278598364000018</v>
      </c>
      <c r="G20" s="136">
        <f>Year0!M20</f>
        <v>0</v>
      </c>
      <c r="H20" s="136">
        <f>Year0!P20</f>
        <v>5.5934492307692318</v>
      </c>
      <c r="I20" s="136">
        <f>Year0!Q20</f>
        <v>14.421309067169233</v>
      </c>
      <c r="J20" s="139"/>
    </row>
    <row r="21" spans="1:10">
      <c r="B21" t="s">
        <v>59</v>
      </c>
      <c r="E21" t="s">
        <v>7</v>
      </c>
      <c r="F21" s="136">
        <f>Year0!I21</f>
        <v>4.6779369867999998</v>
      </c>
      <c r="G21" s="136">
        <f>Year0!M21</f>
        <v>14</v>
      </c>
      <c r="H21" s="136">
        <f>Year0!P21</f>
        <v>3.5594676923076927</v>
      </c>
      <c r="I21" s="136">
        <f>Year0!Q21</f>
        <v>22.237404679107691</v>
      </c>
      <c r="J21" s="139"/>
    </row>
    <row r="22" spans="1:10">
      <c r="B22" t="s">
        <v>35</v>
      </c>
      <c r="E22" t="s">
        <v>7</v>
      </c>
      <c r="F22" s="136">
        <f>Year0!I22</f>
        <v>4.6779369867999998</v>
      </c>
      <c r="G22" s="136">
        <f>Year0!M22</f>
        <v>0</v>
      </c>
      <c r="H22" s="136">
        <f>Year0!P22</f>
        <v>3.5594676923076927</v>
      </c>
      <c r="I22" s="136">
        <f>Year0!Q22</f>
        <v>8.2374046791076925</v>
      </c>
      <c r="J22" s="139"/>
    </row>
    <row r="23" spans="1:10">
      <c r="C23" t="s">
        <v>61</v>
      </c>
      <c r="F23" s="136">
        <f>Year0!I23</f>
        <v>0</v>
      </c>
      <c r="G23" s="136">
        <f>Year0!M23</f>
        <v>1.98</v>
      </c>
      <c r="H23" s="136">
        <f>Year0!P23</f>
        <v>0</v>
      </c>
      <c r="I23" s="136">
        <f>Year0!Q23</f>
        <v>1.98</v>
      </c>
      <c r="J23" s="139"/>
    </row>
    <row r="24" spans="1:10">
      <c r="C24" t="s">
        <v>63</v>
      </c>
      <c r="F24" s="136">
        <f>Year0!I24</f>
        <v>0</v>
      </c>
      <c r="G24" s="136">
        <f>Year0!M24</f>
        <v>10</v>
      </c>
      <c r="H24" s="136">
        <f>Year0!P24</f>
        <v>0</v>
      </c>
      <c r="I24" s="136">
        <f>Year0!Q24</f>
        <v>10</v>
      </c>
      <c r="J24" s="139"/>
    </row>
    <row r="25" spans="1:10">
      <c r="A25" s="137" t="s">
        <v>29</v>
      </c>
      <c r="B25" s="138"/>
      <c r="C25" s="138"/>
      <c r="D25" s="138"/>
      <c r="E25" s="138"/>
      <c r="F25" s="191">
        <f>Year0!I25</f>
        <v>40.777485320991005</v>
      </c>
      <c r="G25" s="191">
        <f>Year0!M25</f>
        <v>47.73</v>
      </c>
      <c r="H25" s="191">
        <f>Year0!P25</f>
        <v>231.53828843076928</v>
      </c>
      <c r="I25" s="191">
        <f>Year0!Q25</f>
        <v>320.04577375176029</v>
      </c>
      <c r="J25" s="139"/>
    </row>
    <row r="26" spans="1:10">
      <c r="A26" t="s">
        <v>71</v>
      </c>
      <c r="F26" s="192" t="s">
        <v>7</v>
      </c>
      <c r="G26" s="192" t="s">
        <v>7</v>
      </c>
      <c r="H26" s="192" t="s">
        <v>7</v>
      </c>
      <c r="I26" s="192" t="s">
        <v>7</v>
      </c>
    </row>
    <row r="27" spans="1:10">
      <c r="B27" t="s">
        <v>485</v>
      </c>
      <c r="E27" t="s">
        <v>7</v>
      </c>
      <c r="F27" s="136">
        <f>Year0!I27</f>
        <v>0</v>
      </c>
      <c r="G27" s="136">
        <f>Year0!M27</f>
        <v>24</v>
      </c>
      <c r="H27" s="136">
        <f>Year0!P27</f>
        <v>0</v>
      </c>
      <c r="I27" s="136">
        <f>Year0!Q27</f>
        <v>24</v>
      </c>
      <c r="J27" s="74"/>
    </row>
    <row r="28" spans="1:10">
      <c r="B28" t="s">
        <v>2</v>
      </c>
      <c r="E28" t="s">
        <v>7</v>
      </c>
      <c r="F28" s="136">
        <f>Year0!I28</f>
        <v>18.479544582222225</v>
      </c>
      <c r="G28" s="136">
        <f>Year0!M28</f>
        <v>0</v>
      </c>
      <c r="H28" s="136">
        <f>Year0!P28</f>
        <v>12.712384615384618</v>
      </c>
      <c r="I28" s="136">
        <f>Year0!Q28</f>
        <v>31.191929197606843</v>
      </c>
      <c r="J28" s="139"/>
    </row>
    <row r="29" spans="1:10">
      <c r="A29" s="137" t="s">
        <v>72</v>
      </c>
      <c r="B29" s="138"/>
      <c r="C29" s="138"/>
      <c r="D29" s="138"/>
      <c r="E29" s="138"/>
      <c r="F29" s="191">
        <f>Year0!I29</f>
        <v>18.479544582222225</v>
      </c>
      <c r="G29" s="191">
        <f>Year0!M29</f>
        <v>24</v>
      </c>
      <c r="H29" s="191">
        <f>Year0!P29</f>
        <v>12.712384615384618</v>
      </c>
      <c r="I29" s="191">
        <f>Year0!Q29</f>
        <v>55.191929197606839</v>
      </c>
      <c r="J29" s="139"/>
    </row>
    <row r="30" spans="1:10">
      <c r="A30" t="s">
        <v>27</v>
      </c>
      <c r="F30" s="192" t="s">
        <v>7</v>
      </c>
      <c r="G30" s="192" t="s">
        <v>7</v>
      </c>
      <c r="H30" s="192" t="s">
        <v>7</v>
      </c>
      <c r="I30" s="192" t="s">
        <v>7</v>
      </c>
    </row>
    <row r="31" spans="1:10">
      <c r="B31" t="s">
        <v>485</v>
      </c>
      <c r="E31" t="s">
        <v>7</v>
      </c>
      <c r="F31" s="136">
        <f>Year0!I31</f>
        <v>0</v>
      </c>
      <c r="G31" s="136">
        <f>Year0!M31</f>
        <v>6</v>
      </c>
      <c r="H31" s="136">
        <f>Year0!P31</f>
        <v>0</v>
      </c>
      <c r="I31" s="136">
        <f>Year0!Q31</f>
        <v>6</v>
      </c>
      <c r="J31" s="74"/>
    </row>
    <row r="32" spans="1:10">
      <c r="A32" s="137" t="s">
        <v>37</v>
      </c>
      <c r="B32" s="138"/>
      <c r="C32" s="138"/>
      <c r="D32" s="138"/>
      <c r="E32" s="138"/>
      <c r="F32" s="191">
        <f>Year0!I32</f>
        <v>0</v>
      </c>
      <c r="G32" s="191">
        <f>Year0!M32</f>
        <v>6</v>
      </c>
      <c r="H32" s="191">
        <f>Year0!P32</f>
        <v>0</v>
      </c>
      <c r="I32" s="191">
        <f>Year0!Q32</f>
        <v>6</v>
      </c>
      <c r="J32" s="139"/>
    </row>
    <row r="33" spans="1:10">
      <c r="A33" t="s">
        <v>0</v>
      </c>
      <c r="F33" s="192" t="s">
        <v>7</v>
      </c>
      <c r="G33" s="192" t="s">
        <v>7</v>
      </c>
      <c r="H33" s="192" t="s">
        <v>7</v>
      </c>
      <c r="I33" s="192" t="s">
        <v>7</v>
      </c>
    </row>
    <row r="34" spans="1:10">
      <c r="B34" t="s">
        <v>24</v>
      </c>
      <c r="E34" t="s">
        <v>7</v>
      </c>
      <c r="F34" s="136">
        <f>Year0!I34</f>
        <v>0</v>
      </c>
      <c r="G34" s="136">
        <f>Year0!M34</f>
        <v>6</v>
      </c>
      <c r="H34" s="136">
        <f>Year0!P34</f>
        <v>0</v>
      </c>
      <c r="I34" s="136">
        <f>Year0!Q34</f>
        <v>6</v>
      </c>
      <c r="J34" s="74"/>
    </row>
    <row r="35" spans="1:10">
      <c r="A35" s="137" t="s">
        <v>1</v>
      </c>
      <c r="B35" s="138"/>
      <c r="C35" s="138"/>
      <c r="D35" s="138"/>
      <c r="E35" s="138"/>
      <c r="F35" s="191">
        <f>Year0!I35</f>
        <v>0</v>
      </c>
      <c r="G35" s="191">
        <f>Year0!M35</f>
        <v>6</v>
      </c>
      <c r="H35" s="191">
        <f>Year0!P35</f>
        <v>0</v>
      </c>
      <c r="I35" s="191">
        <f>Year0!Q35</f>
        <v>6</v>
      </c>
      <c r="J35" s="139"/>
    </row>
    <row r="36" spans="1:10">
      <c r="A36" t="s">
        <v>3</v>
      </c>
      <c r="F36" s="192" t="s">
        <v>7</v>
      </c>
      <c r="G36" s="192" t="s">
        <v>7</v>
      </c>
      <c r="H36" s="192" t="s">
        <v>7</v>
      </c>
      <c r="I36" s="192" t="s">
        <v>7</v>
      </c>
    </row>
    <row r="37" spans="1:10">
      <c r="B37" t="s">
        <v>485</v>
      </c>
      <c r="E37" t="s">
        <v>7</v>
      </c>
      <c r="F37" s="136">
        <f>Year0!I37</f>
        <v>0</v>
      </c>
      <c r="G37" s="136">
        <f>Year0!M37</f>
        <v>6</v>
      </c>
      <c r="H37" s="136">
        <f>Year0!P37</f>
        <v>0</v>
      </c>
      <c r="I37" s="136">
        <f>Year0!Q37</f>
        <v>6</v>
      </c>
      <c r="J37" s="74"/>
    </row>
    <row r="38" spans="1:10">
      <c r="B38" t="s">
        <v>5</v>
      </c>
      <c r="F38" s="136">
        <f>Year0!I38</f>
        <v>0</v>
      </c>
      <c r="G38" s="136">
        <f>Year0!M38</f>
        <v>1633.5</v>
      </c>
      <c r="H38" s="136">
        <f>Year0!P38</f>
        <v>3.9304961538461543</v>
      </c>
      <c r="I38" s="136">
        <f>Year0!Q38</f>
        <v>1637.4304961538462</v>
      </c>
      <c r="J38" s="139"/>
    </row>
    <row r="39" spans="1:10">
      <c r="B39" t="s">
        <v>211</v>
      </c>
      <c r="F39" s="136">
        <f>Year0!I39</f>
        <v>0</v>
      </c>
      <c r="G39" s="136">
        <f>Year0!M39</f>
        <v>4219.8</v>
      </c>
      <c r="H39" s="136">
        <f>Year0!P39</f>
        <v>15.721984615384617</v>
      </c>
      <c r="I39" s="136">
        <f>Year0!Q39</f>
        <v>4235.521984615385</v>
      </c>
      <c r="J39" s="139"/>
    </row>
    <row r="40" spans="1:10">
      <c r="A40" s="137" t="s">
        <v>4</v>
      </c>
      <c r="B40" s="138"/>
      <c r="C40" s="138"/>
      <c r="D40" s="138"/>
      <c r="E40" s="138"/>
      <c r="F40" s="190">
        <f>Year0!I41</f>
        <v>222.77914461916669</v>
      </c>
      <c r="G40" s="190">
        <f>Year0!M41</f>
        <v>5859.3</v>
      </c>
      <c r="H40" s="190">
        <f>Year0!P41</f>
        <v>1664.6999423076925</v>
      </c>
      <c r="I40" s="190">
        <f>Year0!Q41</f>
        <v>7746.7790869268592</v>
      </c>
      <c r="J40" s="162"/>
    </row>
    <row r="41" spans="1:10">
      <c r="A41" t="s">
        <v>486</v>
      </c>
      <c r="F41" s="192" t="s">
        <v>7</v>
      </c>
      <c r="G41" s="192" t="s">
        <v>7</v>
      </c>
      <c r="H41" s="192" t="s">
        <v>7</v>
      </c>
      <c r="I41" s="192" t="s">
        <v>7</v>
      </c>
    </row>
    <row r="42" spans="1:10">
      <c r="B42" t="s">
        <v>39</v>
      </c>
      <c r="F42" s="136">
        <f>Year0!I43</f>
        <v>0</v>
      </c>
      <c r="G42" s="136">
        <f>Year0!M43</f>
        <v>16</v>
      </c>
      <c r="H42" s="136">
        <f>Year0!P43</f>
        <v>0</v>
      </c>
      <c r="I42" s="136">
        <f>Year0!Q43</f>
        <v>16</v>
      </c>
      <c r="J42" s="74"/>
    </row>
    <row r="43" spans="1:10">
      <c r="B43" t="s">
        <v>41</v>
      </c>
      <c r="F43" s="136">
        <f>Year0!I44</f>
        <v>0</v>
      </c>
      <c r="G43" s="136">
        <f>Year0!M44</f>
        <v>10</v>
      </c>
      <c r="H43" s="136">
        <f>Year0!P44</f>
        <v>0</v>
      </c>
      <c r="I43" s="136">
        <f>Year0!Q44</f>
        <v>10</v>
      </c>
      <c r="J43" s="139"/>
    </row>
    <row r="44" spans="1:10">
      <c r="B44" t="s">
        <v>43</v>
      </c>
      <c r="F44" s="136">
        <f>Year0!I45</f>
        <v>0</v>
      </c>
      <c r="G44" s="136">
        <f>Year0!M45</f>
        <v>100</v>
      </c>
      <c r="H44" s="136">
        <f>Year0!P45</f>
        <v>0</v>
      </c>
      <c r="I44" s="136">
        <f>Year0!Q45</f>
        <v>100</v>
      </c>
      <c r="J44" s="139"/>
    </row>
    <row r="45" spans="1:10">
      <c r="B45" t="s">
        <v>45</v>
      </c>
      <c r="E45" t="s">
        <v>7</v>
      </c>
      <c r="F45" s="136">
        <f>Year0!I46</f>
        <v>0</v>
      </c>
      <c r="G45" s="136">
        <f>Year0!M46</f>
        <v>35</v>
      </c>
      <c r="H45" s="136">
        <f>Year0!P46</f>
        <v>0</v>
      </c>
      <c r="I45" s="136">
        <f>Year0!Q46</f>
        <v>35</v>
      </c>
      <c r="J45" s="139"/>
    </row>
    <row r="46" spans="1:10">
      <c r="B46" s="1613" t="s">
        <v>487</v>
      </c>
      <c r="C46" s="1613"/>
      <c r="D46" s="1613"/>
      <c r="E46" s="1613"/>
      <c r="F46" s="136">
        <f>Year0!I47</f>
        <v>0</v>
      </c>
      <c r="G46" s="136">
        <f>Year0!M47</f>
        <v>25</v>
      </c>
      <c r="H46" s="136">
        <f>Year0!P47</f>
        <v>0</v>
      </c>
      <c r="I46" s="136">
        <f>Year0!Q47</f>
        <v>25</v>
      </c>
      <c r="J46" s="139"/>
    </row>
    <row r="47" spans="1:10">
      <c r="A47" s="137" t="s">
        <v>488</v>
      </c>
      <c r="B47" s="138"/>
      <c r="C47" s="138"/>
      <c r="D47" s="138"/>
      <c r="E47" s="138"/>
      <c r="F47" s="191">
        <f>Year0!I48</f>
        <v>0</v>
      </c>
      <c r="G47" s="191">
        <f>Year0!M48</f>
        <v>186</v>
      </c>
      <c r="H47" s="191">
        <f>Year0!P48</f>
        <v>0</v>
      </c>
      <c r="I47" s="191">
        <f>Year0!Q48</f>
        <v>186</v>
      </c>
      <c r="J47" s="139"/>
    </row>
    <row r="48" spans="1:10">
      <c r="A48" t="s">
        <v>50</v>
      </c>
      <c r="F48" s="192" t="s">
        <v>7</v>
      </c>
      <c r="G48" s="192" t="s">
        <v>7</v>
      </c>
      <c r="H48" s="192" t="s">
        <v>7</v>
      </c>
      <c r="I48" s="192" t="s">
        <v>7</v>
      </c>
    </row>
    <row r="49" spans="1:10">
      <c r="B49" t="s">
        <v>52</v>
      </c>
      <c r="F49" s="136">
        <f>Year0!I50</f>
        <v>31.28</v>
      </c>
      <c r="G49" s="136">
        <f>Year0!M50</f>
        <v>0</v>
      </c>
      <c r="H49" s="136">
        <f>Year0!P50</f>
        <v>20.339815384615388</v>
      </c>
      <c r="I49" s="136">
        <f>Year0!Q50</f>
        <v>51.619815384615393</v>
      </c>
      <c r="J49" s="74"/>
    </row>
    <row r="50" spans="1:10">
      <c r="B50" t="s">
        <v>53</v>
      </c>
      <c r="F50" s="136">
        <f>Year0!I51</f>
        <v>0</v>
      </c>
      <c r="G50" s="136">
        <f>Year0!M51</f>
        <v>70</v>
      </c>
      <c r="H50" s="136">
        <f>Year0!P51</f>
        <v>0</v>
      </c>
      <c r="I50" s="136">
        <f>Year0!Q51</f>
        <v>70</v>
      </c>
      <c r="J50" s="139"/>
    </row>
    <row r="51" spans="1:10">
      <c r="A51" s="137" t="s">
        <v>54</v>
      </c>
      <c r="B51" s="138"/>
      <c r="C51" s="138"/>
      <c r="D51" s="138"/>
      <c r="E51" s="138"/>
      <c r="F51" s="191">
        <f>Year0!I52</f>
        <v>31.28</v>
      </c>
      <c r="G51" s="191">
        <f>Year0!M52</f>
        <v>70</v>
      </c>
      <c r="H51" s="191">
        <f>Year0!P52</f>
        <v>20.339815384615388</v>
      </c>
      <c r="I51" s="191">
        <f>Year0!Q52</f>
        <v>121.61981538461539</v>
      </c>
      <c r="J51" s="139"/>
    </row>
    <row r="53" spans="1:10">
      <c r="A53" s="137" t="s">
        <v>489</v>
      </c>
      <c r="B53" s="138"/>
      <c r="C53" s="138"/>
      <c r="D53" s="138"/>
      <c r="E53" s="138"/>
      <c r="F53" s="190">
        <f>Year0!I53</f>
        <v>313.31617452237992</v>
      </c>
      <c r="G53" s="190">
        <f>Year0!M53</f>
        <v>6232.03</v>
      </c>
      <c r="H53" s="190">
        <f>Year0!P53</f>
        <v>1978.4449845846152</v>
      </c>
      <c r="I53" s="190">
        <f>Year0!Q53</f>
        <v>8523.7911591069951</v>
      </c>
      <c r="J53" s="74"/>
    </row>
    <row r="54" spans="1:10" ht="13.5" thickBot="1">
      <c r="A54" s="140"/>
      <c r="B54" s="140"/>
      <c r="C54" s="140"/>
      <c r="D54" s="140"/>
      <c r="E54" s="140"/>
      <c r="F54" s="140"/>
      <c r="G54" s="140"/>
      <c r="H54" s="140"/>
      <c r="I54" s="140"/>
      <c r="J54" s="140"/>
    </row>
  </sheetData>
  <sheetProtection password="A5F1" sheet="1" objects="1" scenarios="1"/>
  <mergeCells count="3">
    <mergeCell ref="A1:J1"/>
    <mergeCell ref="B46:E46"/>
    <mergeCell ref="F5:I5"/>
  </mergeCells>
  <pageMargins left="1" right="0" top="0.75" bottom="0.75" header="0.3" footer="0.3"/>
  <pageSetup orientation="portrait"/>
</worksheet>
</file>

<file path=xl/worksheets/sheet4.xml><?xml version="1.0" encoding="utf-8"?>
<worksheet xmlns="http://schemas.openxmlformats.org/spreadsheetml/2006/main" xmlns:r="http://schemas.openxmlformats.org/officeDocument/2006/relationships">
  <sheetPr enableFormatConditionsCalculation="0">
    <tabColor rgb="FF7030A0"/>
  </sheetPr>
  <dimension ref="A1:J95"/>
  <sheetViews>
    <sheetView zoomScale="125" zoomScaleNormal="125" workbookViewId="0">
      <selection activeCell="G57" sqref="G57"/>
    </sheetView>
  </sheetViews>
  <sheetFormatPr defaultColWidth="8.85546875" defaultRowHeight="12.75"/>
  <cols>
    <col min="1" max="7" width="8.85546875" style="764"/>
    <col min="8" max="9" width="10.7109375" style="764" customWidth="1"/>
    <col min="10" max="16384" width="8.85546875" style="764"/>
  </cols>
  <sheetData>
    <row r="1" spans="1:10">
      <c r="A1" s="1615" t="s">
        <v>490</v>
      </c>
      <c r="B1" s="1615"/>
      <c r="C1" s="1615"/>
      <c r="D1" s="1615"/>
      <c r="E1" s="1615"/>
      <c r="F1" s="1615"/>
      <c r="G1" s="1615"/>
      <c r="H1" s="1615"/>
      <c r="I1" s="1615"/>
      <c r="J1" s="1615"/>
    </row>
    <row r="2" spans="1:10" ht="13.5" thickBot="1"/>
    <row r="3" spans="1:10">
      <c r="A3" s="132"/>
      <c r="B3" s="132"/>
      <c r="C3" s="132"/>
      <c r="D3" s="132"/>
      <c r="E3" s="132"/>
      <c r="F3" s="791" t="s">
        <v>144</v>
      </c>
      <c r="G3" s="791" t="s">
        <v>145</v>
      </c>
      <c r="H3" s="791" t="s">
        <v>146</v>
      </c>
      <c r="I3" s="791" t="s">
        <v>147</v>
      </c>
      <c r="J3" s="791" t="s">
        <v>483</v>
      </c>
    </row>
    <row r="4" spans="1:10" ht="13.5" thickBot="1">
      <c r="A4" s="134" t="s">
        <v>8</v>
      </c>
      <c r="B4" s="134" t="s">
        <v>484</v>
      </c>
      <c r="C4" s="134"/>
      <c r="D4" s="134"/>
      <c r="E4" s="134"/>
      <c r="F4" s="134" t="s">
        <v>249</v>
      </c>
      <c r="G4" s="782" t="s">
        <v>249</v>
      </c>
      <c r="H4" s="782" t="s">
        <v>249</v>
      </c>
      <c r="I4" s="782" t="s">
        <v>249</v>
      </c>
      <c r="J4" s="782" t="s">
        <v>249</v>
      </c>
    </row>
    <row r="5" spans="1:10">
      <c r="A5" s="141"/>
      <c r="B5" s="142"/>
      <c r="C5" s="143"/>
      <c r="D5" s="801"/>
      <c r="E5" s="144"/>
      <c r="F5" s="1617" t="s">
        <v>729</v>
      </c>
      <c r="G5" s="1617"/>
      <c r="H5" s="1617"/>
      <c r="I5" s="1617"/>
    </row>
    <row r="6" spans="1:10">
      <c r="A6" s="802" t="s">
        <v>79</v>
      </c>
      <c r="B6" s="146"/>
      <c r="C6" s="145"/>
      <c r="D6" s="145"/>
      <c r="E6" s="147"/>
      <c r="F6" s="148"/>
    </row>
    <row r="7" spans="1:10">
      <c r="A7" s="802"/>
      <c r="B7" s="789" t="s">
        <v>491</v>
      </c>
      <c r="C7" s="803"/>
      <c r="D7" s="804"/>
      <c r="E7" s="805" t="s">
        <v>7</v>
      </c>
      <c r="F7" s="805">
        <f>Year1!I7</f>
        <v>0</v>
      </c>
      <c r="G7" s="805">
        <f>Year1!M7</f>
        <v>6</v>
      </c>
      <c r="H7" s="805">
        <f>Year1!P7</f>
        <v>0</v>
      </c>
      <c r="I7" s="805">
        <f>Year1!Q7</f>
        <v>6</v>
      </c>
      <c r="J7" s="784"/>
    </row>
    <row r="8" spans="1:10">
      <c r="A8" s="149" t="s">
        <v>80</v>
      </c>
      <c r="B8" s="806"/>
      <c r="C8" s="807"/>
      <c r="D8" s="806"/>
      <c r="E8" s="808"/>
      <c r="F8" s="193">
        <f>Year1!I8</f>
        <v>0</v>
      </c>
      <c r="G8" s="193">
        <f>Year1!M8</f>
        <v>6</v>
      </c>
      <c r="H8" s="193">
        <f>Year1!P8</f>
        <v>0</v>
      </c>
      <c r="I8" s="193">
        <f>Year1!Q8</f>
        <v>6</v>
      </c>
      <c r="J8" s="785"/>
    </row>
    <row r="9" spans="1:10">
      <c r="A9" s="802" t="s">
        <v>69</v>
      </c>
      <c r="B9" s="146"/>
      <c r="C9" s="145"/>
      <c r="D9" s="146"/>
      <c r="E9" s="150"/>
      <c r="F9" s="805" t="s">
        <v>7</v>
      </c>
      <c r="G9" s="805" t="s">
        <v>7</v>
      </c>
      <c r="H9" s="805" t="s">
        <v>7</v>
      </c>
      <c r="I9" s="805" t="s">
        <v>7</v>
      </c>
    </row>
    <row r="10" spans="1:10">
      <c r="A10" s="802"/>
      <c r="B10" s="789" t="s">
        <v>491</v>
      </c>
      <c r="C10" s="803"/>
      <c r="D10" s="804"/>
      <c r="E10" s="805" t="s">
        <v>7</v>
      </c>
      <c r="F10" s="805">
        <f>Year1!I10</f>
        <v>0</v>
      </c>
      <c r="G10" s="805">
        <f>Year1!M10</f>
        <v>6</v>
      </c>
      <c r="H10" s="805">
        <f>Year1!P10</f>
        <v>0</v>
      </c>
      <c r="I10" s="805">
        <f>Year1!Q10</f>
        <v>6</v>
      </c>
      <c r="J10" s="784"/>
    </row>
    <row r="11" spans="1:10">
      <c r="A11" s="151"/>
      <c r="B11" s="809" t="s">
        <v>81</v>
      </c>
      <c r="C11" s="143"/>
      <c r="D11" s="809"/>
      <c r="E11" s="805"/>
      <c r="F11" s="805">
        <f>Year1!I11</f>
        <v>0</v>
      </c>
      <c r="G11" s="805">
        <f>Year1!M11</f>
        <v>25</v>
      </c>
      <c r="H11" s="805">
        <f>Year1!P11</f>
        <v>40.679630769230776</v>
      </c>
      <c r="I11" s="805">
        <f>Year1!Q11</f>
        <v>65.679630769230783</v>
      </c>
      <c r="J11" s="785"/>
    </row>
    <row r="12" spans="1:10">
      <c r="A12" s="151"/>
      <c r="B12" s="809" t="s">
        <v>82</v>
      </c>
      <c r="C12" s="801"/>
      <c r="D12" s="809"/>
      <c r="E12" s="805" t="s">
        <v>7</v>
      </c>
      <c r="F12" s="805">
        <f>Year1!I12</f>
        <v>0</v>
      </c>
      <c r="G12" s="805">
        <f>Year1!M12</f>
        <v>10.199999999999999</v>
      </c>
      <c r="H12" s="805">
        <f>Year1!P12</f>
        <v>42.374615384615389</v>
      </c>
      <c r="I12" s="805">
        <f>Year1!Q12</f>
        <v>52.574615384615385</v>
      </c>
      <c r="J12" s="785"/>
    </row>
    <row r="13" spans="1:10">
      <c r="A13" s="152" t="s">
        <v>74</v>
      </c>
      <c r="B13" s="810"/>
      <c r="C13" s="811"/>
      <c r="D13" s="810"/>
      <c r="E13" s="812"/>
      <c r="F13" s="193">
        <f>Year1!I13</f>
        <v>0</v>
      </c>
      <c r="G13" s="194">
        <f>Year1!M13</f>
        <v>41.2</v>
      </c>
      <c r="H13" s="194">
        <f>Year1!P13</f>
        <v>83.054246153846165</v>
      </c>
      <c r="I13" s="194">
        <f>Year1!Q13</f>
        <v>124.25424615384617</v>
      </c>
      <c r="J13" s="785"/>
    </row>
    <row r="14" spans="1:10">
      <c r="A14" s="802" t="s">
        <v>84</v>
      </c>
      <c r="B14" s="146"/>
      <c r="C14" s="145"/>
      <c r="D14" s="146"/>
      <c r="E14" s="150"/>
      <c r="F14" s="805" t="s">
        <v>7</v>
      </c>
      <c r="G14" s="805" t="s">
        <v>7</v>
      </c>
      <c r="H14" s="805" t="s">
        <v>7</v>
      </c>
      <c r="I14" s="805" t="s">
        <v>7</v>
      </c>
    </row>
    <row r="15" spans="1:10">
      <c r="A15" s="802"/>
      <c r="B15" s="789" t="s">
        <v>491</v>
      </c>
      <c r="C15" s="803"/>
      <c r="D15" s="804"/>
      <c r="E15" s="805" t="s">
        <v>7</v>
      </c>
      <c r="F15" s="805">
        <f>Year1!I15</f>
        <v>0</v>
      </c>
      <c r="G15" s="805">
        <f>Year1!M15</f>
        <v>6</v>
      </c>
      <c r="H15" s="805">
        <f>Year1!P15</f>
        <v>0</v>
      </c>
      <c r="I15" s="805">
        <f>Year1!Q15</f>
        <v>6</v>
      </c>
      <c r="J15" s="784"/>
    </row>
    <row r="16" spans="1:10">
      <c r="A16" s="802"/>
      <c r="B16" s="1616" t="s">
        <v>85</v>
      </c>
      <c r="C16" s="1616"/>
      <c r="D16" s="1616"/>
      <c r="E16" s="1616"/>
      <c r="F16" s="805">
        <f>Year1!I16</f>
        <v>164.80844100000002</v>
      </c>
      <c r="G16" s="805">
        <f>Year1!M16</f>
        <v>0</v>
      </c>
      <c r="H16" s="805">
        <f>Year1!P16</f>
        <v>30.509723076923077</v>
      </c>
      <c r="I16" s="805">
        <f>Year1!Q16</f>
        <v>195.3181640769231</v>
      </c>
      <c r="J16" s="785"/>
    </row>
    <row r="17" spans="1:10">
      <c r="A17" s="802"/>
      <c r="B17" s="789" t="s">
        <v>492</v>
      </c>
      <c r="C17" s="803"/>
      <c r="D17" s="804"/>
      <c r="E17" s="805" t="s">
        <v>7</v>
      </c>
      <c r="F17" s="805">
        <f>Year1!I17</f>
        <v>40.096602744000002</v>
      </c>
      <c r="G17" s="805">
        <f>Year1!M17</f>
        <v>125</v>
      </c>
      <c r="H17" s="805">
        <f>Year1!P17</f>
        <v>30.509723076923077</v>
      </c>
      <c r="I17" s="805">
        <f>Year1!Q17</f>
        <v>195.60632582092308</v>
      </c>
      <c r="J17" s="785"/>
    </row>
    <row r="18" spans="1:10">
      <c r="A18" s="802"/>
      <c r="B18" s="789" t="s">
        <v>326</v>
      </c>
      <c r="C18" s="803"/>
      <c r="D18" s="804"/>
      <c r="E18" s="805"/>
      <c r="F18" s="805">
        <f>Year1!I18</f>
        <v>0</v>
      </c>
      <c r="G18" s="805">
        <f>Year1!M18</f>
        <v>144</v>
      </c>
      <c r="H18" s="805">
        <f>Year1!P18</f>
        <v>0</v>
      </c>
      <c r="I18" s="805">
        <f>Year1!Q18</f>
        <v>144</v>
      </c>
      <c r="J18" s="785"/>
    </row>
    <row r="19" spans="1:10">
      <c r="A19" s="802"/>
      <c r="B19" s="789" t="s">
        <v>327</v>
      </c>
      <c r="C19" s="803"/>
      <c r="D19" s="804"/>
      <c r="E19" s="805"/>
      <c r="F19" s="805">
        <f>Year1!I19</f>
        <v>0</v>
      </c>
      <c r="G19" s="805">
        <f>Year1!M19</f>
        <v>115</v>
      </c>
      <c r="H19" s="805">
        <f>Year1!P19</f>
        <v>0</v>
      </c>
      <c r="I19" s="805">
        <f>Year1!Q19</f>
        <v>115</v>
      </c>
      <c r="J19" s="785"/>
    </row>
    <row r="20" spans="1:10">
      <c r="A20" s="802"/>
      <c r="B20" s="789" t="s">
        <v>87</v>
      </c>
      <c r="C20" s="803"/>
      <c r="D20" s="804"/>
      <c r="E20" s="805" t="s">
        <v>7</v>
      </c>
      <c r="F20" s="805">
        <f>Year1!I20</f>
        <v>0</v>
      </c>
      <c r="G20" s="805">
        <f>Year1!M20</f>
        <v>0</v>
      </c>
      <c r="H20" s="805">
        <f>Year1!P20</f>
        <v>271.1975384615385</v>
      </c>
      <c r="I20" s="805">
        <f>Year1!Q20</f>
        <v>271.1975384615385</v>
      </c>
      <c r="J20" s="785"/>
    </row>
    <row r="21" spans="1:10">
      <c r="A21" s="802"/>
      <c r="B21" s="789" t="s">
        <v>89</v>
      </c>
      <c r="C21" s="803"/>
      <c r="D21" s="804"/>
      <c r="E21" s="805" t="s">
        <v>7</v>
      </c>
      <c r="F21" s="805">
        <f>Year1!I21</f>
        <v>12.079551798600001</v>
      </c>
      <c r="G21" s="805">
        <f>Year1!M21</f>
        <v>0</v>
      </c>
      <c r="H21" s="805">
        <f>Year1!P21</f>
        <v>84.749230769230778</v>
      </c>
      <c r="I21" s="805">
        <f>Year1!Q21</f>
        <v>96.828782567830785</v>
      </c>
      <c r="J21" s="785"/>
    </row>
    <row r="22" spans="1:10">
      <c r="A22" s="152" t="s">
        <v>93</v>
      </c>
      <c r="B22" s="806"/>
      <c r="C22" s="807"/>
      <c r="D22" s="813"/>
      <c r="E22" s="808"/>
      <c r="F22" s="193">
        <f>Year1!I22</f>
        <v>216.9845955426</v>
      </c>
      <c r="G22" s="193">
        <f>Year1!M22</f>
        <v>390</v>
      </c>
      <c r="H22" s="193">
        <f>Year1!P22</f>
        <v>416.96621538461545</v>
      </c>
      <c r="I22" s="193">
        <f>Year1!Q22</f>
        <v>1023.9508109272153</v>
      </c>
      <c r="J22" s="785"/>
    </row>
    <row r="23" spans="1:10">
      <c r="A23" s="802" t="s">
        <v>57</v>
      </c>
      <c r="B23" s="146"/>
      <c r="C23" s="145"/>
      <c r="D23" s="153"/>
      <c r="E23" s="150"/>
      <c r="F23" s="805" t="s">
        <v>7</v>
      </c>
      <c r="G23" s="805" t="s">
        <v>7</v>
      </c>
      <c r="H23" s="805" t="s">
        <v>7</v>
      </c>
      <c r="I23" s="805" t="s">
        <v>7</v>
      </c>
    </row>
    <row r="24" spans="1:10">
      <c r="A24" s="802"/>
      <c r="B24" s="789" t="s">
        <v>491</v>
      </c>
      <c r="C24" s="803"/>
      <c r="D24" s="804"/>
      <c r="E24" s="805" t="s">
        <v>7</v>
      </c>
      <c r="F24" s="805">
        <f>Year1!I24</f>
        <v>0</v>
      </c>
      <c r="G24" s="805">
        <f>Year1!M24</f>
        <v>6</v>
      </c>
      <c r="H24" s="805">
        <f>Year1!P24</f>
        <v>0</v>
      </c>
      <c r="I24" s="805">
        <f>Year1!Q24</f>
        <v>6</v>
      </c>
      <c r="J24" s="784"/>
    </row>
    <row r="25" spans="1:10">
      <c r="A25" s="802"/>
      <c r="B25" s="789" t="s">
        <v>562</v>
      </c>
      <c r="C25" s="803"/>
      <c r="D25" s="804"/>
      <c r="E25" s="805"/>
      <c r="F25" s="805">
        <f>Year1!I25</f>
        <v>0</v>
      </c>
      <c r="G25" s="805">
        <f>Year1!M25</f>
        <v>0</v>
      </c>
      <c r="H25" s="805">
        <f>Year1!P25</f>
        <v>4.7165953846153847</v>
      </c>
      <c r="I25" s="805">
        <f>Year1!Q25</f>
        <v>4.7165953846153847</v>
      </c>
      <c r="J25" s="785"/>
    </row>
    <row r="26" spans="1:10">
      <c r="A26" s="802"/>
      <c r="B26" s="789" t="s">
        <v>94</v>
      </c>
      <c r="C26" s="803"/>
      <c r="D26" s="804"/>
      <c r="E26" s="805" t="s">
        <v>7</v>
      </c>
      <c r="F26" s="805">
        <f>Year1!I26</f>
        <v>0</v>
      </c>
      <c r="G26" s="805">
        <f>Year1!M26</f>
        <v>354.25</v>
      </c>
      <c r="H26" s="805">
        <f>Year1!P26</f>
        <v>59.324461538461549</v>
      </c>
      <c r="I26" s="805">
        <f>Year1!Q26</f>
        <v>413.57446153846155</v>
      </c>
      <c r="J26" s="785"/>
    </row>
    <row r="27" spans="1:10">
      <c r="A27" s="802"/>
      <c r="B27" s="789" t="s">
        <v>96</v>
      </c>
      <c r="C27" s="803"/>
      <c r="D27" s="789"/>
      <c r="E27" s="805"/>
      <c r="F27" s="805">
        <f>Year1!I27</f>
        <v>0</v>
      </c>
      <c r="G27" s="805">
        <f>Year1!M27</f>
        <v>0</v>
      </c>
      <c r="H27" s="805">
        <f>Year1!P27</f>
        <v>42.374615384615389</v>
      </c>
      <c r="I27" s="805">
        <f>Year1!Q27</f>
        <v>42.374615384615389</v>
      </c>
      <c r="J27" s="785"/>
    </row>
    <row r="28" spans="1:10">
      <c r="A28" s="151"/>
      <c r="B28" s="789" t="s">
        <v>97</v>
      </c>
      <c r="C28" s="803"/>
      <c r="D28" s="804"/>
      <c r="E28" s="805" t="s">
        <v>7</v>
      </c>
      <c r="F28" s="805">
        <f>Year1!I28</f>
        <v>70.420679114999999</v>
      </c>
      <c r="G28" s="805">
        <f>Year1!M28</f>
        <v>0</v>
      </c>
      <c r="H28" s="805">
        <f>Year1!P28</f>
        <v>50.849538461538472</v>
      </c>
      <c r="I28" s="805">
        <f>Year1!Q28</f>
        <v>121.27021757653847</v>
      </c>
      <c r="J28" s="785"/>
    </row>
    <row r="29" spans="1:10">
      <c r="A29" s="802"/>
      <c r="B29" s="789" t="s">
        <v>98</v>
      </c>
      <c r="C29" s="803"/>
      <c r="D29" s="804"/>
      <c r="E29" s="805" t="s">
        <v>7</v>
      </c>
      <c r="F29" s="805">
        <f>Year1!I29</f>
        <v>0</v>
      </c>
      <c r="G29" s="805">
        <f>Year1!M29</f>
        <v>0</v>
      </c>
      <c r="H29" s="805">
        <f>Year1!P29</f>
        <v>847.4923076923078</v>
      </c>
      <c r="I29" s="805">
        <f>Year1!Q29</f>
        <v>847.4923076923078</v>
      </c>
      <c r="J29" s="785"/>
    </row>
    <row r="30" spans="1:10">
      <c r="A30" s="802"/>
      <c r="B30" s="789" t="s">
        <v>581</v>
      </c>
      <c r="C30" s="803"/>
      <c r="D30" s="804"/>
      <c r="E30" s="805" t="s">
        <v>7</v>
      </c>
      <c r="F30" s="805">
        <f>Year1!I30</f>
        <v>49.451183679999993</v>
      </c>
      <c r="G30" s="805">
        <f>Year1!M30</f>
        <v>0</v>
      </c>
      <c r="H30" s="805">
        <f>Year1!P30</f>
        <v>4.2374615384615391</v>
      </c>
      <c r="I30" s="805">
        <f>Year1!Q30</f>
        <v>53.688645218461531</v>
      </c>
      <c r="J30" s="785"/>
    </row>
    <row r="31" spans="1:10">
      <c r="A31" s="802"/>
      <c r="B31" s="789" t="s">
        <v>391</v>
      </c>
      <c r="C31" s="803"/>
      <c r="D31" s="804"/>
      <c r="E31" s="805"/>
      <c r="F31" s="805">
        <f>Year1!I31</f>
        <v>0</v>
      </c>
      <c r="G31" s="805">
        <f>Year1!M31</f>
        <v>25.19</v>
      </c>
      <c r="H31" s="805">
        <f>Year1!P31</f>
        <v>0</v>
      </c>
      <c r="I31" s="805">
        <f>Year1!Q31</f>
        <v>25.19</v>
      </c>
      <c r="J31" s="785"/>
    </row>
    <row r="32" spans="1:10">
      <c r="A32" s="802"/>
      <c r="B32" s="789" t="s">
        <v>100</v>
      </c>
      <c r="C32" s="803"/>
      <c r="D32" s="814"/>
      <c r="E32" s="805" t="s">
        <v>7</v>
      </c>
      <c r="F32" s="805">
        <f>Year1!I32</f>
        <v>7.3918178328888899</v>
      </c>
      <c r="G32" s="805">
        <f>Year1!M32</f>
        <v>0</v>
      </c>
      <c r="H32" s="805">
        <f>Year1!P32</f>
        <v>4.95</v>
      </c>
      <c r="I32" s="805">
        <f>Year1!Q32</f>
        <v>12.341817832888889</v>
      </c>
      <c r="J32" s="785"/>
    </row>
    <row r="33" spans="1:10">
      <c r="A33" s="802"/>
      <c r="B33" s="789" t="s">
        <v>101</v>
      </c>
      <c r="C33" s="803"/>
      <c r="D33" s="789"/>
      <c r="E33" s="805" t="s">
        <v>7</v>
      </c>
      <c r="F33" s="805">
        <f>Year1!I33</f>
        <v>0</v>
      </c>
      <c r="G33" s="805">
        <f>Year1!M33</f>
        <v>0</v>
      </c>
      <c r="H33" s="805">
        <f>Year1!P33</f>
        <v>8.4749230769230781</v>
      </c>
      <c r="I33" s="805">
        <f>Year1!Q33</f>
        <v>8.4749230769230781</v>
      </c>
      <c r="J33" s="785"/>
    </row>
    <row r="34" spans="1:10">
      <c r="A34" s="149" t="s">
        <v>58</v>
      </c>
      <c r="B34" s="806"/>
      <c r="C34" s="807"/>
      <c r="D34" s="813"/>
      <c r="E34" s="808"/>
      <c r="F34" s="193">
        <f>Year1!I34</f>
        <v>127.26368062788889</v>
      </c>
      <c r="G34" s="193">
        <f>Year1!M34</f>
        <v>385.44</v>
      </c>
      <c r="H34" s="193">
        <f>Year1!P34</f>
        <v>1022.4199030769233</v>
      </c>
      <c r="I34" s="193">
        <f>Year1!Q34</f>
        <v>1535.1235837048121</v>
      </c>
      <c r="J34" s="785"/>
    </row>
    <row r="35" spans="1:10">
      <c r="A35" s="802" t="s">
        <v>28</v>
      </c>
      <c r="B35" s="146"/>
      <c r="C35" s="145"/>
      <c r="D35" s="153"/>
      <c r="E35" s="150"/>
      <c r="F35" s="805" t="s">
        <v>7</v>
      </c>
      <c r="G35" s="805" t="s">
        <v>7</v>
      </c>
      <c r="H35" s="805" t="s">
        <v>7</v>
      </c>
      <c r="I35" s="805" t="s">
        <v>7</v>
      </c>
    </row>
    <row r="36" spans="1:10">
      <c r="A36" s="802"/>
      <c r="B36" s="789" t="s">
        <v>491</v>
      </c>
      <c r="C36" s="803"/>
      <c r="D36" s="804"/>
      <c r="E36" s="805" t="s">
        <v>7</v>
      </c>
      <c r="F36" s="805">
        <f>Year1!I36</f>
        <v>0</v>
      </c>
      <c r="G36" s="805">
        <f>Year1!M36</f>
        <v>6</v>
      </c>
      <c r="H36" s="805">
        <f>Year1!P36</f>
        <v>0</v>
      </c>
      <c r="I36" s="805">
        <f>Year1!Q36</f>
        <v>6</v>
      </c>
      <c r="J36" s="784"/>
    </row>
    <row r="37" spans="1:10">
      <c r="A37" s="802"/>
      <c r="B37" s="789" t="s">
        <v>493</v>
      </c>
      <c r="C37" s="803"/>
      <c r="D37" s="804"/>
      <c r="E37" s="805" t="s">
        <v>7</v>
      </c>
      <c r="F37" s="805">
        <f>Year1!I37</f>
        <v>0</v>
      </c>
      <c r="G37" s="805">
        <f>Year1!M37</f>
        <v>0</v>
      </c>
      <c r="H37" s="805">
        <f>Year1!P37</f>
        <v>33.899692307692312</v>
      </c>
      <c r="I37" s="805">
        <f>Year1!Q37</f>
        <v>33.899692307692312</v>
      </c>
      <c r="J37" s="785"/>
    </row>
    <row r="38" spans="1:10">
      <c r="A38" s="802"/>
      <c r="B38" s="789" t="s">
        <v>100</v>
      </c>
      <c r="C38" s="803"/>
      <c r="D38" s="804"/>
      <c r="E38" s="805" t="s">
        <v>7</v>
      </c>
      <c r="F38" s="805">
        <f>Year1!I38</f>
        <v>7.3918178328888899</v>
      </c>
      <c r="G38" s="805">
        <f>Year1!M38</f>
        <v>0</v>
      </c>
      <c r="H38" s="805">
        <f>Year1!P38</f>
        <v>5.084953846153847</v>
      </c>
      <c r="I38" s="805">
        <f>Year1!Q38</f>
        <v>12.476771679042738</v>
      </c>
      <c r="J38" s="785"/>
    </row>
    <row r="39" spans="1:10">
      <c r="A39" s="802"/>
      <c r="B39" s="789" t="s">
        <v>581</v>
      </c>
      <c r="C39" s="803"/>
      <c r="D39" s="804"/>
      <c r="E39" s="805" t="s">
        <v>7</v>
      </c>
      <c r="F39" s="805">
        <f>Year1!I39</f>
        <v>49.451183679999993</v>
      </c>
      <c r="G39" s="805">
        <f>Year1!M39</f>
        <v>0</v>
      </c>
      <c r="H39" s="805">
        <f>Year1!P39</f>
        <v>4.2374615384615391</v>
      </c>
      <c r="I39" s="805">
        <f>Year1!Q39</f>
        <v>53.688645218461531</v>
      </c>
      <c r="J39" s="785"/>
    </row>
    <row r="40" spans="1:10">
      <c r="A40" s="802"/>
      <c r="B40" s="789" t="s">
        <v>391</v>
      </c>
      <c r="C40" s="803"/>
      <c r="D40" s="804"/>
      <c r="E40" s="805"/>
      <c r="F40" s="805">
        <f>Year1!I40</f>
        <v>0</v>
      </c>
      <c r="G40" s="805">
        <f>Year1!M40</f>
        <v>25.19</v>
      </c>
      <c r="H40" s="805">
        <f>Year1!P40</f>
        <v>0</v>
      </c>
      <c r="I40" s="805">
        <f>Year1!Q40</f>
        <v>25.19</v>
      </c>
      <c r="J40" s="785"/>
    </row>
    <row r="41" spans="1:10">
      <c r="A41" s="149" t="s">
        <v>29</v>
      </c>
      <c r="B41" s="806"/>
      <c r="C41" s="807"/>
      <c r="D41" s="813"/>
      <c r="E41" s="808"/>
      <c r="F41" s="193">
        <f>Year1!I41</f>
        <v>56.843001512888883</v>
      </c>
      <c r="G41" s="193">
        <f>Year1!M41</f>
        <v>31.19</v>
      </c>
      <c r="H41" s="193">
        <f>Year1!P41</f>
        <v>43.222107692307695</v>
      </c>
      <c r="I41" s="193">
        <f>Year1!Q41</f>
        <v>131.25510920519659</v>
      </c>
      <c r="J41" s="785"/>
    </row>
    <row r="42" spans="1:10">
      <c r="A42" s="802" t="s">
        <v>105</v>
      </c>
      <c r="B42" s="146"/>
      <c r="C42" s="145"/>
      <c r="D42" s="153"/>
      <c r="E42" s="150"/>
      <c r="F42" s="805" t="s">
        <v>7</v>
      </c>
      <c r="G42" s="805" t="s">
        <v>7</v>
      </c>
      <c r="H42" s="805" t="s">
        <v>7</v>
      </c>
      <c r="I42" s="805" t="s">
        <v>7</v>
      </c>
    </row>
    <row r="43" spans="1:10">
      <c r="A43" s="802"/>
      <c r="B43" s="789" t="s">
        <v>491</v>
      </c>
      <c r="C43" s="803"/>
      <c r="D43" s="804"/>
      <c r="E43" s="805" t="s">
        <v>7</v>
      </c>
      <c r="F43" s="805">
        <f>Year1!I43</f>
        <v>0</v>
      </c>
      <c r="G43" s="805">
        <f>Year1!M43</f>
        <v>6</v>
      </c>
      <c r="H43" s="805">
        <f>Year1!P43</f>
        <v>0</v>
      </c>
      <c r="I43" s="805">
        <f>Year1!Q43</f>
        <v>6</v>
      </c>
      <c r="J43" s="784"/>
    </row>
    <row r="44" spans="1:10">
      <c r="A44" s="802"/>
      <c r="B44" s="789" t="s">
        <v>100</v>
      </c>
      <c r="C44" s="803"/>
      <c r="D44" s="804"/>
      <c r="E44" s="805" t="s">
        <v>7</v>
      </c>
      <c r="F44" s="805">
        <f>Year1!I44</f>
        <v>7.3918178328888899</v>
      </c>
      <c r="G44" s="805">
        <f>Year1!M44</f>
        <v>0</v>
      </c>
      <c r="H44" s="805">
        <f>Year1!P44</f>
        <v>5.084953846153847</v>
      </c>
      <c r="I44" s="805">
        <f>Year1!Q44</f>
        <v>12.476771679042738</v>
      </c>
      <c r="J44" s="785"/>
    </row>
    <row r="45" spans="1:10">
      <c r="A45" s="802"/>
      <c r="B45" s="789" t="s">
        <v>106</v>
      </c>
      <c r="C45" s="803"/>
      <c r="D45" s="804"/>
      <c r="E45" s="805" t="s">
        <v>7</v>
      </c>
      <c r="F45" s="805">
        <f>Year1!I45</f>
        <v>395.60946943999994</v>
      </c>
      <c r="G45" s="805">
        <f>Year1!M45</f>
        <v>0</v>
      </c>
      <c r="H45" s="805">
        <f>Year1!P45</f>
        <v>33.899692307692312</v>
      </c>
      <c r="I45" s="805">
        <f>Year1!Q45</f>
        <v>429.50916174769225</v>
      </c>
      <c r="J45" s="785"/>
    </row>
    <row r="46" spans="1:10">
      <c r="A46" s="149" t="s">
        <v>107</v>
      </c>
      <c r="B46" s="806"/>
      <c r="C46" s="807"/>
      <c r="D46" s="813"/>
      <c r="E46" s="808"/>
      <c r="F46" s="193">
        <f>Year1!I46</f>
        <v>403.00128727288882</v>
      </c>
      <c r="G46" s="193">
        <f>Year1!M46</f>
        <v>6</v>
      </c>
      <c r="H46" s="193">
        <f>Year1!P46</f>
        <v>38.984646153846157</v>
      </c>
      <c r="I46" s="193">
        <f>Year1!Q46</f>
        <v>447.98593342673496</v>
      </c>
      <c r="J46" s="785"/>
    </row>
    <row r="47" spans="1:10">
      <c r="A47" s="802" t="s">
        <v>108</v>
      </c>
      <c r="B47" s="146"/>
      <c r="C47" s="145"/>
      <c r="D47" s="153"/>
      <c r="E47" s="150"/>
      <c r="F47" s="805" t="s">
        <v>7</v>
      </c>
      <c r="G47" s="805" t="s">
        <v>7</v>
      </c>
      <c r="H47" s="805" t="s">
        <v>7</v>
      </c>
      <c r="I47" s="805" t="s">
        <v>7</v>
      </c>
    </row>
    <row r="48" spans="1:10">
      <c r="A48" s="802"/>
      <c r="B48" s="789" t="s">
        <v>491</v>
      </c>
      <c r="C48" s="803"/>
      <c r="D48" s="804"/>
      <c r="E48" s="805" t="s">
        <v>7</v>
      </c>
      <c r="F48" s="805">
        <f>Year1!I48</f>
        <v>0</v>
      </c>
      <c r="G48" s="805">
        <f>Year1!M48</f>
        <v>6</v>
      </c>
      <c r="H48" s="805">
        <f>Year1!P48</f>
        <v>0</v>
      </c>
      <c r="I48" s="805">
        <f>Year1!Q48</f>
        <v>6</v>
      </c>
      <c r="J48" s="784"/>
    </row>
    <row r="49" spans="1:10">
      <c r="A49" s="802"/>
      <c r="B49" s="809" t="s">
        <v>100</v>
      </c>
      <c r="C49" s="801"/>
      <c r="D49" s="804"/>
      <c r="E49" s="805" t="s">
        <v>7</v>
      </c>
      <c r="F49" s="805">
        <f>Year1!I49</f>
        <v>14.78363566577778</v>
      </c>
      <c r="G49" s="805">
        <f>Year1!M49</f>
        <v>0</v>
      </c>
      <c r="H49" s="805">
        <f>Year1!P49</f>
        <v>10.169907692307694</v>
      </c>
      <c r="I49" s="805">
        <f>Year1!Q49</f>
        <v>24.953543358085476</v>
      </c>
      <c r="J49" s="785"/>
    </row>
    <row r="50" spans="1:10">
      <c r="A50" s="154"/>
      <c r="B50" s="809" t="s">
        <v>106</v>
      </c>
      <c r="C50" s="801"/>
      <c r="D50" s="814"/>
      <c r="E50" s="805" t="s">
        <v>7</v>
      </c>
      <c r="F50" s="805">
        <f>Year1!I50</f>
        <v>494.51183679999991</v>
      </c>
      <c r="G50" s="805">
        <f>Year1!M50</f>
        <v>0</v>
      </c>
      <c r="H50" s="805">
        <f>Year1!P50</f>
        <v>42.374615384615389</v>
      </c>
      <c r="I50" s="805">
        <f>Year1!Q50</f>
        <v>536.88645218461534</v>
      </c>
      <c r="J50" s="785"/>
    </row>
    <row r="51" spans="1:10">
      <c r="A51" s="149" t="s">
        <v>109</v>
      </c>
      <c r="B51" s="806"/>
      <c r="C51" s="807"/>
      <c r="D51" s="813"/>
      <c r="E51" s="808"/>
      <c r="F51" s="193">
        <f>Year1!I51</f>
        <v>509.29547246577772</v>
      </c>
      <c r="G51" s="193">
        <f>Year1!M51</f>
        <v>6</v>
      </c>
      <c r="H51" s="193">
        <f>Year1!P51</f>
        <v>52.544523076923085</v>
      </c>
      <c r="I51" s="193">
        <f>Year1!Q51</f>
        <v>567.83999554270076</v>
      </c>
      <c r="J51" s="785"/>
    </row>
    <row r="52" spans="1:10">
      <c r="B52" s="146"/>
      <c r="C52" s="145"/>
      <c r="D52" s="153"/>
      <c r="E52" s="150"/>
      <c r="F52" s="805" t="s">
        <v>7</v>
      </c>
      <c r="G52" s="805" t="s">
        <v>7</v>
      </c>
      <c r="H52" s="805" t="s">
        <v>7</v>
      </c>
      <c r="I52" s="805" t="s">
        <v>7</v>
      </c>
    </row>
    <row r="53" spans="1:10">
      <c r="B53" s="146"/>
      <c r="C53" s="145"/>
      <c r="D53" s="153"/>
      <c r="E53" s="150"/>
      <c r="F53" s="805"/>
      <c r="G53" s="805"/>
      <c r="H53" s="805"/>
      <c r="I53" s="805"/>
    </row>
    <row r="54" spans="1:10">
      <c r="B54" s="146"/>
      <c r="C54" s="145"/>
      <c r="D54" s="153"/>
      <c r="E54" s="150"/>
      <c r="F54" s="805"/>
      <c r="G54" s="805"/>
      <c r="H54" s="805"/>
      <c r="I54" s="805"/>
    </row>
    <row r="55" spans="1:10" ht="13.5" thickBot="1">
      <c r="B55" s="146"/>
      <c r="C55" s="145"/>
      <c r="D55" s="153"/>
      <c r="E55" s="150"/>
      <c r="F55" s="805"/>
      <c r="G55" s="805"/>
      <c r="H55" s="805"/>
      <c r="I55" s="805"/>
    </row>
    <row r="56" spans="1:10">
      <c r="A56" s="132"/>
      <c r="B56" s="132"/>
      <c r="C56" s="132"/>
      <c r="D56" s="132"/>
      <c r="E56" s="132"/>
      <c r="F56" s="791" t="s">
        <v>144</v>
      </c>
      <c r="G56" s="791" t="s">
        <v>145</v>
      </c>
      <c r="H56" s="791" t="s">
        <v>146</v>
      </c>
      <c r="I56" s="791" t="s">
        <v>147</v>
      </c>
      <c r="J56" s="791" t="s">
        <v>483</v>
      </c>
    </row>
    <row r="57" spans="1:10" ht="13.5" thickBot="1">
      <c r="A57" s="134" t="s">
        <v>8</v>
      </c>
      <c r="B57" s="134" t="s">
        <v>484</v>
      </c>
      <c r="C57" s="134"/>
      <c r="D57" s="134"/>
      <c r="E57" s="134"/>
      <c r="F57" s="134" t="s">
        <v>249</v>
      </c>
      <c r="G57" s="782" t="s">
        <v>249</v>
      </c>
      <c r="H57" s="782" t="s">
        <v>249</v>
      </c>
      <c r="I57" s="782" t="s">
        <v>249</v>
      </c>
      <c r="J57" s="782" t="s">
        <v>249</v>
      </c>
    </row>
    <row r="58" spans="1:10">
      <c r="A58" s="802"/>
      <c r="B58" s="146"/>
      <c r="C58" s="145"/>
      <c r="D58" s="153"/>
      <c r="E58" s="150"/>
      <c r="F58" s="1617" t="s">
        <v>729</v>
      </c>
      <c r="G58" s="1617"/>
      <c r="H58" s="1617"/>
      <c r="I58" s="1617"/>
    </row>
    <row r="59" spans="1:10">
      <c r="A59" s="802" t="s">
        <v>110</v>
      </c>
      <c r="B59" s="146"/>
      <c r="C59" s="145"/>
      <c r="D59" s="153"/>
      <c r="E59" s="150"/>
      <c r="F59" s="805"/>
      <c r="G59" s="805"/>
      <c r="H59" s="805"/>
      <c r="I59" s="805"/>
    </row>
    <row r="60" spans="1:10">
      <c r="A60" s="802"/>
      <c r="B60" s="789" t="s">
        <v>491</v>
      </c>
      <c r="C60" s="803"/>
      <c r="D60" s="804"/>
      <c r="E60" s="805" t="s">
        <v>7</v>
      </c>
      <c r="F60" s="805">
        <f>Year1!I53</f>
        <v>0</v>
      </c>
      <c r="G60" s="805">
        <f>Year1!M53</f>
        <v>6</v>
      </c>
      <c r="H60" s="805">
        <f>Year1!P53</f>
        <v>0</v>
      </c>
      <c r="I60" s="805">
        <f>Year1!Q53</f>
        <v>6</v>
      </c>
      <c r="J60" s="784"/>
    </row>
    <row r="61" spans="1:10">
      <c r="A61" s="802"/>
      <c r="B61" s="789" t="s">
        <v>582</v>
      </c>
      <c r="C61" s="803"/>
      <c r="D61" s="805">
        <f>Year1!N54</f>
        <v>50</v>
      </c>
      <c r="E61" s="793" t="s">
        <v>583</v>
      </c>
      <c r="F61" s="805">
        <f>Year1!I65</f>
        <v>0.69333333333333325</v>
      </c>
      <c r="G61" s="805">
        <f>Year1!M65</f>
        <v>0</v>
      </c>
      <c r="H61" s="805">
        <f>Year1!P65</f>
        <v>423.7461538461539</v>
      </c>
      <c r="I61" s="805">
        <f>Year1!Q65</f>
        <v>424.43948717948723</v>
      </c>
      <c r="J61" s="784"/>
    </row>
    <row r="62" spans="1:10">
      <c r="A62" s="802"/>
      <c r="B62" s="789" t="s">
        <v>576</v>
      </c>
      <c r="C62" s="803"/>
      <c r="D62" s="804"/>
      <c r="E62" s="805"/>
      <c r="F62" s="805">
        <f>Year1!I66</f>
        <v>0</v>
      </c>
      <c r="G62" s="805">
        <f>Year1!M66</f>
        <v>250</v>
      </c>
      <c r="H62" s="805">
        <f>Year1!P66</f>
        <v>0</v>
      </c>
      <c r="I62" s="805">
        <f>Year1!Q66</f>
        <v>250</v>
      </c>
      <c r="J62" s="784"/>
    </row>
    <row r="63" spans="1:10">
      <c r="A63" s="802"/>
      <c r="B63" s="789" t="s">
        <v>100</v>
      </c>
      <c r="C63" s="803"/>
      <c r="D63" s="804"/>
      <c r="E63" s="805" t="s">
        <v>7</v>
      </c>
      <c r="F63" s="805">
        <f>Year1!I56</f>
        <v>7.3918178328888899</v>
      </c>
      <c r="G63" s="805">
        <f>Year1!M56</f>
        <v>0</v>
      </c>
      <c r="H63" s="805">
        <f>Year1!P56</f>
        <v>5.084953846153847</v>
      </c>
      <c r="I63" s="805">
        <f>Year1!Q56</f>
        <v>12.476771679042738</v>
      </c>
      <c r="J63" s="785"/>
    </row>
    <row r="64" spans="1:10">
      <c r="A64" s="802"/>
      <c r="B64" s="789" t="s">
        <v>106</v>
      </c>
      <c r="C64" s="803"/>
      <c r="D64" s="814"/>
      <c r="E64" s="805" t="s">
        <v>7</v>
      </c>
      <c r="F64" s="805">
        <f>Year1!I57</f>
        <v>395.60946943999994</v>
      </c>
      <c r="G64" s="805">
        <f>Year1!M57</f>
        <v>0</v>
      </c>
      <c r="H64" s="805">
        <f>Year1!P57</f>
        <v>33.899692307692312</v>
      </c>
      <c r="I64" s="805">
        <f>Year1!Q57</f>
        <v>429.50916174769225</v>
      </c>
      <c r="J64" s="785"/>
    </row>
    <row r="65" spans="1:10">
      <c r="A65" s="154"/>
      <c r="B65" s="789" t="s">
        <v>582</v>
      </c>
      <c r="C65" s="803"/>
      <c r="D65" s="805">
        <f>Year1!N58</f>
        <v>50</v>
      </c>
      <c r="E65" s="793" t="s">
        <v>583</v>
      </c>
      <c r="F65" s="805">
        <f>Year1!I58</f>
        <v>0.69333333333333325</v>
      </c>
      <c r="G65" s="805">
        <f>Year1!M58</f>
        <v>0</v>
      </c>
      <c r="H65" s="805">
        <f>Year1!P58</f>
        <v>423.7461538461539</v>
      </c>
      <c r="I65" s="805">
        <f>Year1!Q58</f>
        <v>424.43948717948723</v>
      </c>
      <c r="J65" s="785"/>
    </row>
    <row r="66" spans="1:10">
      <c r="A66" s="154"/>
      <c r="B66" s="789" t="s">
        <v>576</v>
      </c>
      <c r="C66" s="803"/>
      <c r="D66" s="804"/>
      <c r="E66" s="805"/>
      <c r="F66" s="805">
        <f>Year1!I59</f>
        <v>0</v>
      </c>
      <c r="G66" s="805">
        <f>Year1!M59</f>
        <v>250</v>
      </c>
      <c r="H66" s="805">
        <f>Year1!P59</f>
        <v>0</v>
      </c>
      <c r="I66" s="805">
        <f>Year1!Q59</f>
        <v>250</v>
      </c>
      <c r="J66" s="785"/>
    </row>
    <row r="67" spans="1:10">
      <c r="A67" s="149" t="s">
        <v>111</v>
      </c>
      <c r="B67" s="806"/>
      <c r="C67" s="807"/>
      <c r="D67" s="813"/>
      <c r="E67" s="808"/>
      <c r="F67" s="193">
        <f>Year1!I62</f>
        <v>404.38795393955547</v>
      </c>
      <c r="G67" s="193">
        <f>Year1!M62</f>
        <v>506</v>
      </c>
      <c r="H67" s="193">
        <f>Year1!P62</f>
        <v>1691.5946461538465</v>
      </c>
      <c r="I67" s="193">
        <f>Year1!Q62</f>
        <v>2601.9826000934022</v>
      </c>
      <c r="J67" s="785"/>
    </row>
    <row r="68" spans="1:10">
      <c r="A68" s="815" t="s">
        <v>112</v>
      </c>
      <c r="B68" s="146"/>
      <c r="C68" s="145"/>
      <c r="D68" s="153"/>
      <c r="E68" s="150"/>
      <c r="F68" s="805" t="s">
        <v>7</v>
      </c>
      <c r="G68" s="805" t="s">
        <v>7</v>
      </c>
      <c r="H68" s="805" t="s">
        <v>7</v>
      </c>
      <c r="I68" s="805" t="s">
        <v>7</v>
      </c>
    </row>
    <row r="69" spans="1:10">
      <c r="A69" s="802"/>
      <c r="B69" s="789" t="s">
        <v>491</v>
      </c>
      <c r="C69" s="803"/>
      <c r="D69" s="804"/>
      <c r="E69" s="805" t="s">
        <v>7</v>
      </c>
      <c r="F69" s="805">
        <f>Year1!I64</f>
        <v>0</v>
      </c>
      <c r="G69" s="805">
        <f>Year1!M64</f>
        <v>6</v>
      </c>
      <c r="H69" s="805">
        <f>Year1!P64</f>
        <v>0</v>
      </c>
      <c r="I69" s="805">
        <f>Year1!Q64</f>
        <v>6</v>
      </c>
      <c r="J69" s="784"/>
    </row>
    <row r="70" spans="1:10">
      <c r="A70" s="802"/>
      <c r="B70" s="789" t="s">
        <v>582</v>
      </c>
      <c r="C70" s="803"/>
      <c r="D70" s="805">
        <f>Year1!N65</f>
        <v>50</v>
      </c>
      <c r="E70" s="793" t="s">
        <v>583</v>
      </c>
      <c r="F70" s="805">
        <f>Year1!I54</f>
        <v>0.69333333333333325</v>
      </c>
      <c r="G70" s="805">
        <f>Year1!M54</f>
        <v>0</v>
      </c>
      <c r="H70" s="805">
        <f>Year1!P54</f>
        <v>423.7461538461539</v>
      </c>
      <c r="I70" s="805">
        <f>Year1!Q54</f>
        <v>424.43948717948723</v>
      </c>
      <c r="J70" s="784"/>
    </row>
    <row r="71" spans="1:10">
      <c r="A71" s="802"/>
      <c r="B71" s="789" t="s">
        <v>576</v>
      </c>
      <c r="C71" s="803"/>
      <c r="D71" s="804"/>
      <c r="E71" s="805"/>
      <c r="F71" s="805">
        <f>Year1!I55</f>
        <v>0</v>
      </c>
      <c r="G71" s="805">
        <f>Year1!M55</f>
        <v>250</v>
      </c>
      <c r="H71" s="805">
        <f>Year1!P55</f>
        <v>0</v>
      </c>
      <c r="I71" s="805">
        <f>Year1!Q55</f>
        <v>250</v>
      </c>
      <c r="J71" s="784"/>
    </row>
    <row r="72" spans="1:10">
      <c r="A72" s="802"/>
      <c r="B72" s="789" t="s">
        <v>114</v>
      </c>
      <c r="C72" s="803"/>
      <c r="D72" s="814"/>
      <c r="E72" s="805" t="s">
        <v>7</v>
      </c>
      <c r="F72" s="805">
        <f>Year1!I67</f>
        <v>5.873084638191</v>
      </c>
      <c r="G72" s="805">
        <f>Year1!M67</f>
        <v>0</v>
      </c>
      <c r="H72" s="805">
        <f>Year1!P67</f>
        <v>4.2408515076923079</v>
      </c>
      <c r="I72" s="805">
        <f>Year1!Q67</f>
        <v>10.113936145883308</v>
      </c>
      <c r="J72" s="785"/>
    </row>
    <row r="73" spans="1:10">
      <c r="A73" s="802"/>
      <c r="B73" s="789" t="s">
        <v>328</v>
      </c>
      <c r="C73" s="816"/>
      <c r="D73" s="814"/>
      <c r="E73" s="817" t="s">
        <v>7</v>
      </c>
      <c r="F73" s="805">
        <f>Year1!I68</f>
        <v>0</v>
      </c>
      <c r="G73" s="805">
        <f>Year1!M68</f>
        <v>3.52</v>
      </c>
      <c r="H73" s="805">
        <f>Year1!P68</f>
        <v>0</v>
      </c>
      <c r="I73" s="805">
        <f>Year1!Q68</f>
        <v>3.52</v>
      </c>
      <c r="J73" s="785"/>
    </row>
    <row r="74" spans="1:10">
      <c r="A74" s="802"/>
      <c r="B74" s="789" t="s">
        <v>582</v>
      </c>
      <c r="C74" s="801"/>
      <c r="D74" s="805">
        <f>Year1!N69</f>
        <v>50</v>
      </c>
      <c r="E74" s="793" t="s">
        <v>583</v>
      </c>
      <c r="F74" s="805">
        <f>Year1!I69</f>
        <v>0.69333333333333325</v>
      </c>
      <c r="G74" s="805">
        <f>Year1!M69</f>
        <v>0</v>
      </c>
      <c r="H74" s="805">
        <f>Year1!P69</f>
        <v>423.7461538461539</v>
      </c>
      <c r="I74" s="805">
        <f>Year1!Q69</f>
        <v>424.43948717948723</v>
      </c>
      <c r="J74" s="785"/>
    </row>
    <row r="75" spans="1:10">
      <c r="A75" s="802"/>
      <c r="B75" s="789" t="s">
        <v>576</v>
      </c>
      <c r="C75" s="803"/>
      <c r="D75" s="804"/>
      <c r="E75" s="805"/>
      <c r="F75" s="805">
        <f>Year1!I71</f>
        <v>0</v>
      </c>
      <c r="G75" s="805">
        <f>Year1!M71</f>
        <v>250</v>
      </c>
      <c r="H75" s="805">
        <f>Year1!P71</f>
        <v>0</v>
      </c>
      <c r="I75" s="805">
        <f>Year1!Q71</f>
        <v>250</v>
      </c>
      <c r="J75" s="785"/>
    </row>
    <row r="76" spans="1:10">
      <c r="A76" s="809"/>
      <c r="B76" s="789" t="s">
        <v>100</v>
      </c>
      <c r="C76" s="803"/>
      <c r="D76" s="804"/>
      <c r="E76" s="805" t="s">
        <v>7</v>
      </c>
      <c r="F76" s="805">
        <f>Year1!I70</f>
        <v>7.3918178328888899</v>
      </c>
      <c r="G76" s="805">
        <f>Year1!M70</f>
        <v>0</v>
      </c>
      <c r="H76" s="805">
        <f>Year1!P70</f>
        <v>5.084953846153847</v>
      </c>
      <c r="I76" s="805">
        <f>Year1!Q70</f>
        <v>12.476771679042738</v>
      </c>
      <c r="J76" s="785"/>
    </row>
    <row r="77" spans="1:10">
      <c r="A77" s="155" t="s">
        <v>115</v>
      </c>
      <c r="B77" s="806"/>
      <c r="C77" s="807"/>
      <c r="D77" s="813"/>
      <c r="E77" s="808"/>
      <c r="F77" s="193">
        <f>Year1!I72</f>
        <v>14.651569137746556</v>
      </c>
      <c r="G77" s="193">
        <f>Year1!M72</f>
        <v>509.52</v>
      </c>
      <c r="H77" s="193">
        <f>Year1!P72</f>
        <v>856.81811304615394</v>
      </c>
      <c r="I77" s="193">
        <f>Year1!Q72</f>
        <v>1380.9896821839004</v>
      </c>
      <c r="J77" s="785"/>
    </row>
    <row r="78" spans="1:10">
      <c r="A78" s="815" t="s">
        <v>494</v>
      </c>
      <c r="B78" s="146"/>
      <c r="C78" s="145"/>
      <c r="D78" s="153"/>
      <c r="E78" s="150"/>
      <c r="F78" s="805" t="s">
        <v>7</v>
      </c>
      <c r="G78" s="805" t="s">
        <v>7</v>
      </c>
      <c r="H78" s="805" t="s">
        <v>7</v>
      </c>
      <c r="I78" s="805" t="s">
        <v>7</v>
      </c>
    </row>
    <row r="79" spans="1:10">
      <c r="A79" s="802"/>
      <c r="B79" s="789" t="s">
        <v>491</v>
      </c>
      <c r="C79" s="803"/>
      <c r="D79" s="804"/>
      <c r="E79" s="805" t="s">
        <v>7</v>
      </c>
      <c r="F79" s="805">
        <f>Year1!I74</f>
        <v>0</v>
      </c>
      <c r="G79" s="805">
        <f>Year1!M74</f>
        <v>18</v>
      </c>
      <c r="H79" s="805">
        <f>Year1!P74</f>
        <v>0</v>
      </c>
      <c r="I79" s="805">
        <f>Year1!Q74</f>
        <v>18</v>
      </c>
      <c r="J79" s="784"/>
    </row>
    <row r="80" spans="1:10">
      <c r="A80" s="155" t="s">
        <v>117</v>
      </c>
      <c r="B80" s="806"/>
      <c r="C80" s="807"/>
      <c r="D80" s="813"/>
      <c r="E80" s="808"/>
      <c r="F80" s="193">
        <f>Year1!I75</f>
        <v>0</v>
      </c>
      <c r="G80" s="193">
        <f>Year1!M75</f>
        <v>18</v>
      </c>
      <c r="H80" s="193">
        <f>Year1!P75</f>
        <v>0</v>
      </c>
      <c r="I80" s="193">
        <f>Year1!Q75</f>
        <v>18</v>
      </c>
      <c r="J80" s="785"/>
    </row>
    <row r="81" spans="1:10">
      <c r="A81" s="809" t="s">
        <v>486</v>
      </c>
      <c r="B81" s="146"/>
      <c r="C81" s="145"/>
      <c r="D81" s="153"/>
      <c r="E81" s="150"/>
      <c r="F81" s="805" t="s">
        <v>7</v>
      </c>
      <c r="G81" s="805" t="s">
        <v>7</v>
      </c>
      <c r="H81" s="805" t="s">
        <v>7</v>
      </c>
      <c r="I81" s="805" t="s">
        <v>7</v>
      </c>
    </row>
    <row r="82" spans="1:10">
      <c r="A82" s="802"/>
      <c r="B82" s="793" t="s">
        <v>39</v>
      </c>
      <c r="C82" s="803"/>
      <c r="D82" s="789"/>
      <c r="E82" s="787"/>
      <c r="F82" s="805">
        <f>Year1!I77</f>
        <v>0</v>
      </c>
      <c r="G82" s="805">
        <f>Year1!M77</f>
        <v>16</v>
      </c>
      <c r="H82" s="805">
        <f>Year1!P77</f>
        <v>0</v>
      </c>
      <c r="I82" s="805">
        <f>Year1!Q77</f>
        <v>16</v>
      </c>
      <c r="J82" s="784"/>
    </row>
    <row r="83" spans="1:10">
      <c r="A83" s="802"/>
      <c r="B83" s="793" t="s">
        <v>41</v>
      </c>
      <c r="C83" s="803"/>
      <c r="D83" s="789"/>
      <c r="E83" s="787"/>
      <c r="F83" s="805">
        <f>Year1!I78</f>
        <v>0</v>
      </c>
      <c r="G83" s="805">
        <f>Year1!M78</f>
        <v>10</v>
      </c>
      <c r="H83" s="805">
        <f>Year1!P78</f>
        <v>0</v>
      </c>
      <c r="I83" s="805">
        <f>Year1!Q78</f>
        <v>10</v>
      </c>
      <c r="J83" s="785"/>
    </row>
    <row r="84" spans="1:10">
      <c r="A84" s="802"/>
      <c r="B84" s="793" t="s">
        <v>43</v>
      </c>
      <c r="C84" s="803"/>
      <c r="D84" s="789"/>
      <c r="E84" s="787"/>
      <c r="F84" s="805">
        <f>Year1!I79</f>
        <v>0</v>
      </c>
      <c r="G84" s="805">
        <f>Year1!M79</f>
        <v>100</v>
      </c>
      <c r="H84" s="805">
        <f>Year1!P79</f>
        <v>0</v>
      </c>
      <c r="I84" s="805">
        <f>Year1!Q79</f>
        <v>100</v>
      </c>
      <c r="J84" s="785"/>
    </row>
    <row r="85" spans="1:10">
      <c r="A85" s="802"/>
      <c r="B85" s="789" t="s">
        <v>45</v>
      </c>
      <c r="C85" s="803"/>
      <c r="D85" s="804"/>
      <c r="E85" s="805" t="s">
        <v>7</v>
      </c>
      <c r="F85" s="805">
        <f>Year1!I80</f>
        <v>0</v>
      </c>
      <c r="G85" s="805">
        <f>Year1!M80</f>
        <v>35</v>
      </c>
      <c r="H85" s="805">
        <f>Year1!P80</f>
        <v>0</v>
      </c>
      <c r="I85" s="805">
        <f>Year1!Q80</f>
        <v>35</v>
      </c>
      <c r="J85" s="785"/>
    </row>
    <row r="86" spans="1:10">
      <c r="A86" s="802"/>
      <c r="B86" s="1616" t="s">
        <v>495</v>
      </c>
      <c r="C86" s="1616"/>
      <c r="D86" s="1616"/>
      <c r="E86" s="1616"/>
      <c r="F86" s="805">
        <f>Year1!I81</f>
        <v>0</v>
      </c>
      <c r="G86" s="805">
        <f>Year1!M81</f>
        <v>25</v>
      </c>
      <c r="H86" s="805">
        <f>Year1!P81</f>
        <v>0</v>
      </c>
      <c r="I86" s="805">
        <f>Year1!Q81</f>
        <v>25</v>
      </c>
      <c r="J86" s="785"/>
    </row>
    <row r="87" spans="1:10">
      <c r="A87" s="802"/>
      <c r="B87" s="793" t="s">
        <v>119</v>
      </c>
      <c r="C87" s="803"/>
      <c r="D87" s="787"/>
      <c r="E87" s="787"/>
      <c r="F87" s="805">
        <f>Year1!I82</f>
        <v>0</v>
      </c>
      <c r="G87" s="805">
        <f>Year1!M82</f>
        <v>165.64</v>
      </c>
      <c r="H87" s="805">
        <f>Year1!P82</f>
        <v>0</v>
      </c>
      <c r="I87" s="805">
        <f>Year1!Q82</f>
        <v>165.64</v>
      </c>
      <c r="J87" s="785"/>
    </row>
    <row r="88" spans="1:10">
      <c r="A88" s="155" t="s">
        <v>488</v>
      </c>
      <c r="B88" s="806"/>
      <c r="C88" s="807"/>
      <c r="D88" s="813"/>
      <c r="E88" s="808"/>
      <c r="F88" s="193">
        <f>Year1!I83</f>
        <v>0</v>
      </c>
      <c r="G88" s="193">
        <f>Year1!M83</f>
        <v>351.64</v>
      </c>
      <c r="H88" s="193">
        <f>Year1!P83</f>
        <v>0</v>
      </c>
      <c r="I88" s="193">
        <f>Year1!Q83</f>
        <v>351.64</v>
      </c>
      <c r="J88" s="785"/>
    </row>
    <row r="89" spans="1:10">
      <c r="A89" s="809" t="s">
        <v>50</v>
      </c>
      <c r="B89" s="146"/>
      <c r="C89" s="145"/>
      <c r="D89" s="153"/>
      <c r="E89" s="150"/>
      <c r="F89" s="805" t="s">
        <v>7</v>
      </c>
      <c r="G89" s="805" t="s">
        <v>7</v>
      </c>
      <c r="H89" s="805" t="s">
        <v>7</v>
      </c>
      <c r="I89" s="805" t="s">
        <v>7</v>
      </c>
    </row>
    <row r="90" spans="1:10">
      <c r="A90" s="802"/>
      <c r="B90" s="793" t="s">
        <v>52</v>
      </c>
      <c r="C90" s="803"/>
      <c r="D90" s="787"/>
      <c r="E90" s="787"/>
      <c r="F90" s="805">
        <f>Year1!I85</f>
        <v>78.2</v>
      </c>
      <c r="G90" s="805">
        <f>Year1!M85</f>
        <v>0</v>
      </c>
      <c r="H90" s="805">
        <f>Year1!P85</f>
        <v>50.849538461538472</v>
      </c>
      <c r="I90" s="805">
        <f>Year1!Q85</f>
        <v>129.04953846153848</v>
      </c>
      <c r="J90" s="784"/>
    </row>
    <row r="91" spans="1:10">
      <c r="A91" s="802"/>
      <c r="B91" s="789" t="s">
        <v>53</v>
      </c>
      <c r="C91" s="803"/>
      <c r="D91" s="804"/>
      <c r="E91" s="805"/>
      <c r="F91" s="805">
        <f>Year1!I86</f>
        <v>0</v>
      </c>
      <c r="G91" s="805">
        <f>Year1!M86</f>
        <v>70</v>
      </c>
      <c r="H91" s="805">
        <f>Year1!P86</f>
        <v>0</v>
      </c>
      <c r="I91" s="805">
        <f>Year1!Q86</f>
        <v>70</v>
      </c>
      <c r="J91" s="785"/>
    </row>
    <row r="92" spans="1:10">
      <c r="A92" s="155" t="s">
        <v>54</v>
      </c>
      <c r="B92" s="806"/>
      <c r="C92" s="807"/>
      <c r="D92" s="818"/>
      <c r="E92" s="808"/>
      <c r="F92" s="193">
        <f>Year1!I87</f>
        <v>78.2</v>
      </c>
      <c r="G92" s="193">
        <f>Year1!M87</f>
        <v>70</v>
      </c>
      <c r="H92" s="193">
        <f>Year1!P87</f>
        <v>50.849538461538472</v>
      </c>
      <c r="I92" s="193">
        <f>Year1!Q87</f>
        <v>199.04953846153848</v>
      </c>
      <c r="J92" s="785"/>
    </row>
    <row r="93" spans="1:10">
      <c r="A93" s="809"/>
      <c r="B93" s="809"/>
      <c r="C93" s="801"/>
      <c r="D93" s="819"/>
      <c r="E93" s="805"/>
    </row>
    <row r="94" spans="1:10">
      <c r="A94" s="155" t="s">
        <v>120</v>
      </c>
      <c r="B94" s="155"/>
      <c r="C94" s="156"/>
      <c r="D94" s="818"/>
      <c r="E94" s="808"/>
      <c r="F94" s="193">
        <f>Year1!I88</f>
        <v>1810.6275604993461</v>
      </c>
      <c r="G94" s="193">
        <f>Year1!M88</f>
        <v>2320.9899999999998</v>
      </c>
      <c r="H94" s="193">
        <f>Year1!P88</f>
        <v>4256.4539392000015</v>
      </c>
      <c r="I94" s="193">
        <f>Year1!Q88</f>
        <v>8388.0714996993465</v>
      </c>
      <c r="J94" s="784"/>
    </row>
    <row r="95" spans="1:10" ht="13.5" thickBot="1">
      <c r="A95" s="820"/>
      <c r="B95" s="820"/>
      <c r="C95" s="820"/>
      <c r="D95" s="820"/>
      <c r="E95" s="820"/>
      <c r="F95" s="820"/>
      <c r="G95" s="820"/>
      <c r="H95" s="820"/>
      <c r="I95" s="820"/>
      <c r="J95" s="820"/>
    </row>
  </sheetData>
  <sheetProtection password="A5F1" sheet="1" objects="1" scenarios="1"/>
  <mergeCells count="5">
    <mergeCell ref="A1:J1"/>
    <mergeCell ref="B16:E16"/>
    <mergeCell ref="B86:E86"/>
    <mergeCell ref="F5:I5"/>
    <mergeCell ref="F58:I58"/>
  </mergeCells>
  <pageMargins left="1" right="0" top="0.75" bottom="0.75" header="0.3" footer="0.3"/>
  <pageSetup orientation="portrait"/>
</worksheet>
</file>

<file path=xl/worksheets/sheet5.xml><?xml version="1.0" encoding="utf-8"?>
<worksheet xmlns="http://schemas.openxmlformats.org/spreadsheetml/2006/main" xmlns:r="http://schemas.openxmlformats.org/officeDocument/2006/relationships">
  <sheetPr enableFormatConditionsCalculation="0">
    <tabColor rgb="FF7030A0"/>
  </sheetPr>
  <dimension ref="A1:K198"/>
  <sheetViews>
    <sheetView zoomScale="125" zoomScaleNormal="125" workbookViewId="0">
      <selection activeCell="G57" sqref="G57"/>
    </sheetView>
  </sheetViews>
  <sheetFormatPr defaultColWidth="8.85546875" defaultRowHeight="12.75"/>
  <cols>
    <col min="1" max="5" width="8.85546875" style="764"/>
    <col min="6" max="6" width="9.28515625" style="764" bestFit="1" customWidth="1"/>
    <col min="7" max="8" width="9.7109375" style="764" customWidth="1"/>
    <col min="9" max="9" width="9.85546875" style="764" bestFit="1" customWidth="1"/>
    <col min="10" max="16384" width="8.85546875" style="764"/>
  </cols>
  <sheetData>
    <row r="1" spans="1:10">
      <c r="A1" s="1610" t="s">
        <v>541</v>
      </c>
      <c r="B1" s="1610"/>
      <c r="C1" s="1610"/>
      <c r="D1" s="1610"/>
      <c r="E1" s="1610"/>
      <c r="F1" s="1610"/>
      <c r="G1" s="1610"/>
      <c r="H1" s="1610"/>
      <c r="I1" s="1610"/>
      <c r="J1" s="1610"/>
    </row>
    <row r="2" spans="1:10" ht="13.5" thickBot="1">
      <c r="A2" s="779" t="s">
        <v>7</v>
      </c>
      <c r="C2" s="779" t="s">
        <v>602</v>
      </c>
      <c r="E2" s="780">
        <f>Yields!G12</f>
        <v>13200</v>
      </c>
      <c r="F2" s="779" t="s">
        <v>601</v>
      </c>
      <c r="G2" s="780">
        <f>Yields!G14</f>
        <v>2200</v>
      </c>
      <c r="H2" s="779" t="s">
        <v>600</v>
      </c>
      <c r="I2" s="779"/>
      <c r="J2" s="779"/>
    </row>
    <row r="3" spans="1:10">
      <c r="A3" s="4"/>
      <c r="B3" s="132"/>
      <c r="C3" s="4"/>
      <c r="D3" s="132"/>
      <c r="E3" s="4"/>
      <c r="F3" s="94" t="s">
        <v>144</v>
      </c>
      <c r="G3" s="94" t="s">
        <v>145</v>
      </c>
      <c r="H3" s="94" t="s">
        <v>146</v>
      </c>
      <c r="I3" s="94" t="s">
        <v>147</v>
      </c>
      <c r="J3" s="94" t="s">
        <v>483</v>
      </c>
    </row>
    <row r="4" spans="1:10" ht="13.5" thickBot="1">
      <c r="A4" s="134" t="s">
        <v>8</v>
      </c>
      <c r="B4" s="134" t="s">
        <v>484</v>
      </c>
      <c r="C4" s="134"/>
      <c r="D4" s="134"/>
      <c r="E4" s="134"/>
      <c r="F4" s="782" t="s">
        <v>249</v>
      </c>
      <c r="G4" s="782" t="s">
        <v>249</v>
      </c>
      <c r="H4" s="782" t="s">
        <v>249</v>
      </c>
      <c r="I4" s="782" t="s">
        <v>249</v>
      </c>
      <c r="J4" s="782" t="s">
        <v>249</v>
      </c>
    </row>
    <row r="5" spans="1:10">
      <c r="A5" s="764" t="s">
        <v>79</v>
      </c>
      <c r="F5" s="1617" t="s">
        <v>729</v>
      </c>
      <c r="G5" s="1617"/>
      <c r="H5" s="1617"/>
      <c r="I5" s="1617"/>
    </row>
    <row r="6" spans="1:10">
      <c r="B6" s="764" t="s">
        <v>491</v>
      </c>
      <c r="F6" s="783">
        <f>Year2!J7</f>
        <v>0</v>
      </c>
      <c r="G6" s="783">
        <f>Year2!N7</f>
        <v>6</v>
      </c>
      <c r="H6" s="783">
        <f>Year2!Q7</f>
        <v>0</v>
      </c>
      <c r="I6" s="783">
        <f>Year2!R7</f>
        <v>6</v>
      </c>
      <c r="J6" s="784"/>
    </row>
    <row r="7" spans="1:10">
      <c r="B7" s="764" t="s">
        <v>104</v>
      </c>
      <c r="F7" s="783">
        <f>Year2!J8</f>
        <v>6.9333333333333327</v>
      </c>
      <c r="G7" s="783">
        <f>Year2!N8</f>
        <v>0</v>
      </c>
      <c r="H7" s="783">
        <f>Year2!Q8</f>
        <v>40.679630769230776</v>
      </c>
      <c r="I7" s="783">
        <f>Year2!R8</f>
        <v>47.612964102564106</v>
      </c>
      <c r="J7" s="785"/>
    </row>
    <row r="8" spans="1:10">
      <c r="B8" s="764" t="s">
        <v>268</v>
      </c>
      <c r="E8" s="764" t="s">
        <v>7</v>
      </c>
      <c r="F8" s="783">
        <f>Year2!J9</f>
        <v>0</v>
      </c>
      <c r="G8" s="783">
        <f>Year2!N9</f>
        <v>0</v>
      </c>
      <c r="H8" s="783">
        <f>Year2!Q9</f>
        <v>31.443969230769234</v>
      </c>
      <c r="I8" s="783">
        <f>Year2!R9</f>
        <v>31.443969230769234</v>
      </c>
      <c r="J8" s="785"/>
    </row>
    <row r="9" spans="1:10">
      <c r="B9" s="764" t="s">
        <v>542</v>
      </c>
      <c r="C9" s="764" t="s">
        <v>599</v>
      </c>
      <c r="D9" s="786">
        <f>Yields!G5</f>
        <v>0.8</v>
      </c>
      <c r="E9" s="799" t="s">
        <v>7</v>
      </c>
      <c r="F9" s="783"/>
      <c r="G9" s="783"/>
      <c r="H9" s="783"/>
      <c r="I9" s="783"/>
    </row>
    <row r="10" spans="1:10">
      <c r="C10" s="764" t="s">
        <v>543</v>
      </c>
      <c r="F10" s="783">
        <f>Year2!J11</f>
        <v>0</v>
      </c>
      <c r="G10" s="783">
        <f>Year2!N11</f>
        <v>3036</v>
      </c>
      <c r="H10" s="783">
        <f>Year2!Q11</f>
        <v>0</v>
      </c>
      <c r="I10" s="783">
        <f>Year2!R11</f>
        <v>3036</v>
      </c>
      <c r="J10" s="784"/>
    </row>
    <row r="11" spans="1:10">
      <c r="C11" s="764" t="s">
        <v>344</v>
      </c>
      <c r="F11" s="783">
        <f>Year2!J12</f>
        <v>0</v>
      </c>
      <c r="G11" s="783">
        <f>Year2!N12</f>
        <v>3850</v>
      </c>
      <c r="H11" s="783">
        <f>Year2!Q12</f>
        <v>0</v>
      </c>
      <c r="I11" s="783">
        <f>Year2!R12</f>
        <v>3850</v>
      </c>
      <c r="J11" s="785"/>
    </row>
    <row r="12" spans="1:10">
      <c r="B12" s="764" t="s">
        <v>336</v>
      </c>
      <c r="C12" s="764" t="s">
        <v>586</v>
      </c>
      <c r="D12" s="786">
        <f>Yields!G6</f>
        <v>0.19999999999999996</v>
      </c>
      <c r="E12" s="799" t="s">
        <v>7</v>
      </c>
      <c r="F12" s="783"/>
      <c r="G12" s="783"/>
      <c r="H12" s="783"/>
      <c r="I12" s="783"/>
    </row>
    <row r="13" spans="1:10">
      <c r="C13" s="764" t="s">
        <v>312</v>
      </c>
      <c r="F13" s="783">
        <f>Year2!J14</f>
        <v>0</v>
      </c>
      <c r="G13" s="783">
        <f>Year2!N14</f>
        <v>337.5</v>
      </c>
      <c r="H13" s="783">
        <f>Year2!Q14</f>
        <v>0</v>
      </c>
      <c r="I13" s="783">
        <f>Year2!R14</f>
        <v>337.5</v>
      </c>
      <c r="J13" s="784"/>
    </row>
    <row r="14" spans="1:10">
      <c r="A14" s="137" t="s">
        <v>80</v>
      </c>
      <c r="B14" s="788"/>
      <c r="C14" s="788"/>
      <c r="D14" s="788"/>
      <c r="E14" s="788"/>
      <c r="F14" s="191">
        <f>Year2!J15</f>
        <v>6.9333333333333327</v>
      </c>
      <c r="G14" s="191">
        <f>Year2!N15</f>
        <v>7229.5</v>
      </c>
      <c r="H14" s="191">
        <f>Year2!Q15</f>
        <v>72.12360000000001</v>
      </c>
      <c r="I14" s="191">
        <f>Year2!R15</f>
        <v>7308.5569333333333</v>
      </c>
      <c r="J14" s="785"/>
    </row>
    <row r="15" spans="1:10">
      <c r="A15" s="764" t="s">
        <v>69</v>
      </c>
      <c r="F15" s="783" t="s">
        <v>7</v>
      </c>
      <c r="G15" s="783" t="s">
        <v>7</v>
      </c>
      <c r="H15" s="783" t="s">
        <v>7</v>
      </c>
      <c r="I15" s="783" t="s">
        <v>7</v>
      </c>
    </row>
    <row r="16" spans="1:10">
      <c r="B16" s="764" t="s">
        <v>491</v>
      </c>
      <c r="F16" s="783">
        <f>Year2!J17</f>
        <v>0</v>
      </c>
      <c r="G16" s="783">
        <f>Year2!N17</f>
        <v>6</v>
      </c>
      <c r="H16" s="783">
        <f>Year2!Q17</f>
        <v>0</v>
      </c>
      <c r="I16" s="783">
        <f>Year2!R17</f>
        <v>6</v>
      </c>
      <c r="J16" s="784"/>
    </row>
    <row r="17" spans="1:10">
      <c r="B17" s="764" t="s">
        <v>81</v>
      </c>
      <c r="F17" s="783">
        <f>Year2!J18</f>
        <v>0</v>
      </c>
      <c r="G17" s="783">
        <f>Year2!N18</f>
        <v>25</v>
      </c>
      <c r="H17" s="783">
        <f>Year2!Q18</f>
        <v>203.39815384615389</v>
      </c>
      <c r="I17" s="783">
        <f>Year2!R18</f>
        <v>228.39815384615389</v>
      </c>
      <c r="J17" s="785"/>
    </row>
    <row r="18" spans="1:10">
      <c r="B18" s="764" t="s">
        <v>395</v>
      </c>
      <c r="F18" s="783">
        <f>Year2!J19</f>
        <v>7.3630149734160009</v>
      </c>
      <c r="G18" s="783">
        <f>Year2!N19</f>
        <v>0</v>
      </c>
      <c r="H18" s="783">
        <f>Year2!Q19</f>
        <v>4.2408515076923079</v>
      </c>
      <c r="I18" s="783">
        <f>Year2!R19</f>
        <v>11.603866481108309</v>
      </c>
      <c r="J18" s="785"/>
    </row>
    <row r="19" spans="1:10">
      <c r="C19" s="764" t="s">
        <v>557</v>
      </c>
      <c r="F19" s="783">
        <f>Year2!J20</f>
        <v>0</v>
      </c>
      <c r="G19" s="783">
        <f>Year2!N20</f>
        <v>100</v>
      </c>
      <c r="H19" s="783">
        <f>Year2!Q20</f>
        <v>0</v>
      </c>
      <c r="I19" s="783">
        <f>Year2!R20</f>
        <v>100</v>
      </c>
      <c r="J19" s="785"/>
    </row>
    <row r="20" spans="1:10">
      <c r="B20" s="764" t="s">
        <v>104</v>
      </c>
      <c r="F20" s="783">
        <f>Year2!J21</f>
        <v>3.4666666666666663</v>
      </c>
      <c r="G20" s="783">
        <f>Year2!N21</f>
        <v>0</v>
      </c>
      <c r="H20" s="783">
        <f>Year2!Q21</f>
        <v>101.69907692307694</v>
      </c>
      <c r="I20" s="783">
        <f>Year2!R21</f>
        <v>105.16574358974361</v>
      </c>
      <c r="J20" s="785"/>
    </row>
    <row r="21" spans="1:10">
      <c r="A21" s="137" t="s">
        <v>74</v>
      </c>
      <c r="B21" s="788"/>
      <c r="C21" s="788"/>
      <c r="D21" s="788"/>
      <c r="E21" s="788"/>
      <c r="F21" s="191">
        <f>Year2!J22</f>
        <v>10.829681640082667</v>
      </c>
      <c r="G21" s="191">
        <f>Year2!N22</f>
        <v>131</v>
      </c>
      <c r="H21" s="191">
        <f>Year2!Q22</f>
        <v>309.33808227692316</v>
      </c>
      <c r="I21" s="191">
        <f>Year2!R22</f>
        <v>451.1677639170058</v>
      </c>
      <c r="J21" s="785"/>
    </row>
    <row r="22" spans="1:10">
      <c r="A22" s="764" t="s">
        <v>84</v>
      </c>
      <c r="F22" s="783" t="s">
        <v>7</v>
      </c>
      <c r="G22" s="783" t="s">
        <v>7</v>
      </c>
      <c r="H22" s="783" t="s">
        <v>7</v>
      </c>
      <c r="I22" s="783" t="s">
        <v>7</v>
      </c>
    </row>
    <row r="23" spans="1:10">
      <c r="B23" s="764" t="s">
        <v>491</v>
      </c>
      <c r="F23" s="783">
        <f>Year2!J24</f>
        <v>0</v>
      </c>
      <c r="G23" s="783">
        <f>Year2!N24</f>
        <v>6</v>
      </c>
      <c r="H23" s="783">
        <f>Year2!Q24</f>
        <v>0</v>
      </c>
      <c r="I23" s="783">
        <f>Year2!R24</f>
        <v>6</v>
      </c>
      <c r="J23" s="784"/>
    </row>
    <row r="24" spans="1:10">
      <c r="B24" s="764" t="s">
        <v>550</v>
      </c>
      <c r="F24" s="783">
        <f>Year2!J25</f>
        <v>0</v>
      </c>
      <c r="G24" s="783">
        <f>Year2!N25</f>
        <v>0</v>
      </c>
      <c r="H24" s="783">
        <f>Year2!Q25</f>
        <v>677.99384615384622</v>
      </c>
      <c r="I24" s="783">
        <f>Year2!R25</f>
        <v>677.99384615384622</v>
      </c>
      <c r="J24" s="784"/>
    </row>
    <row r="25" spans="1:10">
      <c r="B25" s="764" t="s">
        <v>315</v>
      </c>
      <c r="F25" s="783">
        <f>Year2!J26</f>
        <v>7.3630149734160009</v>
      </c>
      <c r="G25" s="783">
        <f>Year2!N26</f>
        <v>0</v>
      </c>
      <c r="H25" s="783">
        <f>Year2!Q26</f>
        <v>4.2408515076923079</v>
      </c>
      <c r="I25" s="783">
        <f>Year2!R26</f>
        <v>11.603866481108309</v>
      </c>
      <c r="J25" s="785"/>
    </row>
    <row r="26" spans="1:10">
      <c r="C26" s="764" t="s">
        <v>295</v>
      </c>
      <c r="F26" s="783">
        <f>Year2!J27</f>
        <v>0</v>
      </c>
      <c r="G26" s="783">
        <f>Year2!N27</f>
        <v>3.1158486549726607</v>
      </c>
      <c r="H26" s="783">
        <f>Year2!Q27</f>
        <v>0</v>
      </c>
      <c r="I26" s="783">
        <f>Year2!R27</f>
        <v>3.1158486549726607</v>
      </c>
      <c r="J26" s="785"/>
    </row>
    <row r="27" spans="1:10">
      <c r="B27" s="764" t="s">
        <v>318</v>
      </c>
      <c r="F27" s="783">
        <f>Year2!J28</f>
        <v>7.3630149734160009</v>
      </c>
      <c r="G27" s="783">
        <f>Year2!N28</f>
        <v>0</v>
      </c>
      <c r="H27" s="783">
        <f>Year2!Q28</f>
        <v>4.2408515076923079</v>
      </c>
      <c r="I27" s="783">
        <f>Year2!R28</f>
        <v>11.603866481108309</v>
      </c>
      <c r="J27" s="785"/>
    </row>
    <row r="28" spans="1:10">
      <c r="C28" s="764" t="s">
        <v>295</v>
      </c>
      <c r="F28" s="783">
        <f>Year2!J29</f>
        <v>0</v>
      </c>
      <c r="G28" s="783">
        <f>Year2!N29</f>
        <v>3.1158486549726607</v>
      </c>
      <c r="H28" s="783">
        <f>Year2!Q29</f>
        <v>0</v>
      </c>
      <c r="I28" s="783">
        <f>Year2!R29</f>
        <v>3.1158486549726607</v>
      </c>
      <c r="J28" s="785"/>
    </row>
    <row r="29" spans="1:10">
      <c r="C29" s="764" t="s">
        <v>113</v>
      </c>
      <c r="F29" s="783">
        <f>Year2!J30</f>
        <v>0</v>
      </c>
      <c r="G29" s="783">
        <f>Year2!N30</f>
        <v>16</v>
      </c>
      <c r="H29" s="783">
        <f>Year2!Q30</f>
        <v>0</v>
      </c>
      <c r="I29" s="783">
        <f>Year2!R30</f>
        <v>16</v>
      </c>
      <c r="J29" s="785"/>
    </row>
    <row r="30" spans="1:10">
      <c r="C30" s="764" t="s">
        <v>137</v>
      </c>
      <c r="F30" s="783">
        <f>Year2!J31</f>
        <v>0</v>
      </c>
      <c r="G30" s="783">
        <f>Year2!N31</f>
        <v>15</v>
      </c>
      <c r="H30" s="783">
        <f>Year2!Q31</f>
        <v>0</v>
      </c>
      <c r="I30" s="783">
        <f>Year2!R31</f>
        <v>15</v>
      </c>
      <c r="J30" s="785"/>
    </row>
    <row r="31" spans="1:10">
      <c r="B31" s="764" t="s">
        <v>124</v>
      </c>
      <c r="F31" s="783">
        <f>Year2!J32</f>
        <v>0.99145182060000014</v>
      </c>
      <c r="G31" s="783">
        <f>Year2!N32</f>
        <v>0</v>
      </c>
      <c r="H31" s="783">
        <f>Year2!Q32</f>
        <v>84.749230769230778</v>
      </c>
      <c r="I31" s="783">
        <f>Year2!R32</f>
        <v>85.740682589830783</v>
      </c>
      <c r="J31" s="785"/>
    </row>
    <row r="32" spans="1:10">
      <c r="B32" s="789" t="s">
        <v>581</v>
      </c>
      <c r="F32" s="783">
        <f>Year2!J33</f>
        <v>49.451183679999993</v>
      </c>
      <c r="G32" s="783">
        <f>Year2!N33</f>
        <v>0</v>
      </c>
      <c r="H32" s="783">
        <f>Year2!Q33</f>
        <v>4.2374615384615391</v>
      </c>
      <c r="I32" s="783">
        <f>Year2!R33</f>
        <v>53.688645218461531</v>
      </c>
      <c r="J32" s="785"/>
    </row>
    <row r="33" spans="1:11">
      <c r="C33" s="764" t="s">
        <v>391</v>
      </c>
      <c r="F33" s="783">
        <f>Year2!J34</f>
        <v>0</v>
      </c>
      <c r="G33" s="783">
        <f>Year2!N34</f>
        <v>1.2549200000000003</v>
      </c>
      <c r="H33" s="783">
        <f>Year2!Q34</f>
        <v>0</v>
      </c>
      <c r="I33" s="783">
        <f>Year2!R34</f>
        <v>1.2549200000000003</v>
      </c>
      <c r="J33" s="785"/>
    </row>
    <row r="34" spans="1:11">
      <c r="B34" s="764" t="s">
        <v>392</v>
      </c>
      <c r="F34" s="783">
        <f>Year2!J35</f>
        <v>7.3630149734160009</v>
      </c>
      <c r="G34" s="783">
        <f>Year2!N35</f>
        <v>0</v>
      </c>
      <c r="H34" s="783">
        <f>Year2!Q35</f>
        <v>4.2408515076923079</v>
      </c>
      <c r="I34" s="783">
        <f>Year2!R35</f>
        <v>11.603866481108309</v>
      </c>
      <c r="J34" s="785"/>
    </row>
    <row r="35" spans="1:11">
      <c r="C35" s="764" t="s">
        <v>99</v>
      </c>
      <c r="F35" s="783">
        <f>Year2!J36</f>
        <v>0</v>
      </c>
      <c r="G35" s="783">
        <f>Year2!N36</f>
        <v>1.5840000000000001</v>
      </c>
      <c r="H35" s="783">
        <f>Year2!Q36</f>
        <v>0</v>
      </c>
      <c r="I35" s="783">
        <f>Year2!R36</f>
        <v>1.5840000000000001</v>
      </c>
      <c r="J35" s="785"/>
    </row>
    <row r="36" spans="1:11">
      <c r="B36" s="764" t="s">
        <v>32</v>
      </c>
      <c r="F36" s="783">
        <f>Year2!J37</f>
        <v>5.873084638191</v>
      </c>
      <c r="G36" s="783">
        <f>Year2!N37</f>
        <v>0</v>
      </c>
      <c r="H36" s="783">
        <f>Year2!Q37</f>
        <v>4.2408515076923079</v>
      </c>
      <c r="I36" s="783">
        <f>Year2!R37</f>
        <v>10.113936145883308</v>
      </c>
      <c r="J36" s="785"/>
    </row>
    <row r="37" spans="1:11">
      <c r="C37" s="764" t="s">
        <v>125</v>
      </c>
      <c r="F37" s="783">
        <f>Year2!J38</f>
        <v>0</v>
      </c>
      <c r="G37" s="783">
        <f>Year2!N38</f>
        <v>3.52</v>
      </c>
      <c r="H37" s="783">
        <f>Year2!Q38</f>
        <v>0</v>
      </c>
      <c r="I37" s="783">
        <f>Year2!R38</f>
        <v>3.52</v>
      </c>
      <c r="J37" s="785"/>
    </row>
    <row r="38" spans="1:11">
      <c r="B38" s="764" t="s">
        <v>32</v>
      </c>
      <c r="F38" s="783">
        <f>Year2!J39</f>
        <v>5.873084638191</v>
      </c>
      <c r="G38" s="783">
        <f>Year2!N39</f>
        <v>0</v>
      </c>
      <c r="H38" s="783">
        <f>Year2!Q39</f>
        <v>4.2408515076923079</v>
      </c>
      <c r="I38" s="783">
        <f>Year2!R39</f>
        <v>10.113936145883308</v>
      </c>
      <c r="J38" s="785"/>
    </row>
    <row r="39" spans="1:11">
      <c r="C39" s="764" t="s">
        <v>290</v>
      </c>
      <c r="F39" s="783">
        <f>Year2!J40</f>
        <v>0</v>
      </c>
      <c r="G39" s="783">
        <f>Year2!N40</f>
        <v>92</v>
      </c>
      <c r="H39" s="783">
        <f>Year2!Q40</f>
        <v>0</v>
      </c>
      <c r="I39" s="783">
        <f>Year2!R40</f>
        <v>92</v>
      </c>
      <c r="J39" s="785"/>
    </row>
    <row r="40" spans="1:11">
      <c r="A40" s="137" t="s">
        <v>93</v>
      </c>
      <c r="B40" s="788"/>
      <c r="C40" s="788"/>
      <c r="D40" s="788"/>
      <c r="E40" s="788"/>
      <c r="F40" s="191">
        <f>Year2!J41</f>
        <v>84.277849697229996</v>
      </c>
      <c r="G40" s="191">
        <f>Year2!N41</f>
        <v>141.59061730994532</v>
      </c>
      <c r="H40" s="191">
        <f>Year2!Q41</f>
        <v>788.18479600000023</v>
      </c>
      <c r="I40" s="191">
        <f>Year2!R41</f>
        <v>1014.053263007175</v>
      </c>
      <c r="J40" s="785"/>
      <c r="K40" s="783" t="s">
        <v>7</v>
      </c>
    </row>
    <row r="41" spans="1:11">
      <c r="A41" s="764" t="s">
        <v>57</v>
      </c>
      <c r="F41" s="783" t="s">
        <v>7</v>
      </c>
      <c r="G41" s="783" t="s">
        <v>7</v>
      </c>
      <c r="H41" s="783" t="s">
        <v>7</v>
      </c>
      <c r="I41" s="783" t="s">
        <v>7</v>
      </c>
    </row>
    <row r="42" spans="1:11">
      <c r="B42" s="764" t="s">
        <v>491</v>
      </c>
      <c r="F42" s="783">
        <f>Year2!J43</f>
        <v>0</v>
      </c>
      <c r="G42" s="783">
        <f>Year2!N43</f>
        <v>6</v>
      </c>
      <c r="H42" s="783">
        <f>Year2!Q43</f>
        <v>0</v>
      </c>
      <c r="I42" s="783">
        <f>Year2!R43</f>
        <v>6</v>
      </c>
      <c r="J42" s="784"/>
    </row>
    <row r="43" spans="1:11">
      <c r="B43" s="764" t="s">
        <v>316</v>
      </c>
      <c r="F43" s="783">
        <f>Year2!J44</f>
        <v>7.3630149734160009</v>
      </c>
      <c r="G43" s="783">
        <f>Year2!N44</f>
        <v>0</v>
      </c>
      <c r="H43" s="783">
        <f>Year2!Q44</f>
        <v>4.2408515076923079</v>
      </c>
      <c r="I43" s="783">
        <f>Year2!R44</f>
        <v>11.603866481108309</v>
      </c>
      <c r="J43" s="785"/>
    </row>
    <row r="44" spans="1:11">
      <c r="C44" s="764" t="s">
        <v>294</v>
      </c>
      <c r="F44" s="783">
        <f>Year2!J45</f>
        <v>0</v>
      </c>
      <c r="G44" s="783">
        <f>Year2!N45</f>
        <v>70</v>
      </c>
      <c r="H44" s="783">
        <f>Year2!Q45</f>
        <v>0</v>
      </c>
      <c r="I44" s="783">
        <f>Year2!R45</f>
        <v>70</v>
      </c>
      <c r="J44" s="785"/>
    </row>
    <row r="45" spans="1:11">
      <c r="B45" s="764" t="s">
        <v>316</v>
      </c>
      <c r="F45" s="783">
        <f>Year2!J46</f>
        <v>7.3630149734160009</v>
      </c>
      <c r="G45" s="783">
        <f>Year2!N46</f>
        <v>0</v>
      </c>
      <c r="H45" s="783">
        <f>Year2!Q46</f>
        <v>4.2408515076923079</v>
      </c>
      <c r="I45" s="783">
        <f>Year2!R46</f>
        <v>11.603866481108309</v>
      </c>
      <c r="J45" s="785"/>
    </row>
    <row r="46" spans="1:11">
      <c r="C46" s="764" t="s">
        <v>113</v>
      </c>
      <c r="F46" s="783">
        <f>Year2!J47</f>
        <v>0</v>
      </c>
      <c r="G46" s="783">
        <f>Year2!N47</f>
        <v>16</v>
      </c>
      <c r="H46" s="783">
        <f>Year2!Q47</f>
        <v>0</v>
      </c>
      <c r="I46" s="783">
        <f>Year2!R47</f>
        <v>16</v>
      </c>
      <c r="J46" s="785"/>
    </row>
    <row r="47" spans="1:11">
      <c r="C47" s="764" t="s">
        <v>137</v>
      </c>
      <c r="F47" s="783">
        <f>Year2!J48</f>
        <v>0</v>
      </c>
      <c r="G47" s="783">
        <f>Year2!N48</f>
        <v>15</v>
      </c>
      <c r="H47" s="783">
        <f>Year2!Q48</f>
        <v>0</v>
      </c>
      <c r="I47" s="783">
        <f>Year2!R48</f>
        <v>15</v>
      </c>
      <c r="J47" s="785"/>
    </row>
    <row r="48" spans="1:11">
      <c r="B48" s="789" t="s">
        <v>581</v>
      </c>
      <c r="F48" s="783">
        <f>Year2!J49</f>
        <v>49.451183679999993</v>
      </c>
      <c r="G48" s="783">
        <f>Year2!N49</f>
        <v>0</v>
      </c>
      <c r="H48" s="783">
        <f>Year2!Q49</f>
        <v>4.2374615384615391</v>
      </c>
      <c r="I48" s="783">
        <f>Year2!R49</f>
        <v>53.688645218461531</v>
      </c>
      <c r="J48" s="785"/>
    </row>
    <row r="49" spans="1:10">
      <c r="C49" s="764" t="s">
        <v>391</v>
      </c>
      <c r="F49" s="783">
        <f>Year2!J50</f>
        <v>0</v>
      </c>
      <c r="G49" s="783">
        <f>Year2!N50</f>
        <v>22.900000000000002</v>
      </c>
      <c r="H49" s="783">
        <f>Year2!Q50</f>
        <v>0</v>
      </c>
      <c r="I49" s="783">
        <f>Year2!R50</f>
        <v>22.900000000000002</v>
      </c>
      <c r="J49" s="785"/>
    </row>
    <row r="50" spans="1:10">
      <c r="B50" s="764" t="s">
        <v>128</v>
      </c>
      <c r="F50" s="783">
        <f>Year2!J51</f>
        <v>0</v>
      </c>
      <c r="G50" s="783">
        <f>Year2!N51</f>
        <v>0</v>
      </c>
      <c r="H50" s="783">
        <f>Year2!Q51</f>
        <v>14.738996655518397</v>
      </c>
      <c r="I50" s="783">
        <f>Year2!R51</f>
        <v>14.738996655518397</v>
      </c>
      <c r="J50" s="785"/>
    </row>
    <row r="51" spans="1:10">
      <c r="B51" s="764" t="s">
        <v>129</v>
      </c>
      <c r="F51" s="783">
        <f>Year2!J52</f>
        <v>0</v>
      </c>
      <c r="G51" s="783">
        <f>Year2!N52</f>
        <v>150</v>
      </c>
      <c r="H51" s="783">
        <f>Year2!Q52</f>
        <v>0</v>
      </c>
      <c r="I51" s="783">
        <f>Year2!R52</f>
        <v>150</v>
      </c>
      <c r="J51" s="785"/>
    </row>
    <row r="52" spans="1:10">
      <c r="A52" s="137" t="s">
        <v>58</v>
      </c>
      <c r="B52" s="788"/>
      <c r="C52" s="788"/>
      <c r="D52" s="788"/>
      <c r="E52" s="788"/>
      <c r="F52" s="191">
        <f>Year2!J53</f>
        <v>64.177213626832</v>
      </c>
      <c r="G52" s="191">
        <f>Year2!N53</f>
        <v>279.89999999999998</v>
      </c>
      <c r="H52" s="191">
        <f>Year2!Q53</f>
        <v>27.458161209364555</v>
      </c>
      <c r="I52" s="191">
        <f>Year2!R53</f>
        <v>371.53537483619652</v>
      </c>
      <c r="J52" s="785"/>
    </row>
    <row r="53" spans="1:10">
      <c r="A53" s="764" t="s">
        <v>28</v>
      </c>
      <c r="F53" s="783" t="s">
        <v>7</v>
      </c>
      <c r="G53" s="783" t="s">
        <v>7</v>
      </c>
      <c r="H53" s="783" t="s">
        <v>7</v>
      </c>
      <c r="I53" s="783" t="s">
        <v>7</v>
      </c>
    </row>
    <row r="54" spans="1:10">
      <c r="B54" s="764" t="s">
        <v>491</v>
      </c>
      <c r="F54" s="783">
        <f>Year2!J55</f>
        <v>0</v>
      </c>
      <c r="G54" s="783">
        <f>Year2!N55</f>
        <v>6</v>
      </c>
      <c r="H54" s="783">
        <f>Year2!Q55</f>
        <v>0</v>
      </c>
      <c r="I54" s="783">
        <f>Year2!R55</f>
        <v>6</v>
      </c>
      <c r="J54" s="784"/>
    </row>
    <row r="55" spans="1:10" ht="13.5" thickBot="1">
      <c r="F55" s="783"/>
      <c r="G55" s="783"/>
      <c r="H55" s="783"/>
      <c r="I55" s="783"/>
      <c r="J55" s="790"/>
    </row>
    <row r="56" spans="1:10">
      <c r="A56" s="132"/>
      <c r="B56" s="132"/>
      <c r="C56" s="132"/>
      <c r="D56" s="132"/>
      <c r="E56" s="132"/>
      <c r="F56" s="791" t="s">
        <v>144</v>
      </c>
      <c r="G56" s="791" t="s">
        <v>145</v>
      </c>
      <c r="H56" s="791" t="s">
        <v>146</v>
      </c>
      <c r="I56" s="791" t="s">
        <v>147</v>
      </c>
      <c r="J56" s="791" t="s">
        <v>483</v>
      </c>
    </row>
    <row r="57" spans="1:10" ht="13.5" thickBot="1">
      <c r="A57" s="134" t="s">
        <v>8</v>
      </c>
      <c r="B57" s="134" t="s">
        <v>484</v>
      </c>
      <c r="C57" s="134"/>
      <c r="D57" s="134"/>
      <c r="E57" s="134"/>
      <c r="F57" s="782" t="s">
        <v>249</v>
      </c>
      <c r="G57" s="782" t="s">
        <v>249</v>
      </c>
      <c r="H57" s="782" t="s">
        <v>249</v>
      </c>
      <c r="I57" s="782" t="s">
        <v>249</v>
      </c>
      <c r="J57" s="782" t="s">
        <v>249</v>
      </c>
    </row>
    <row r="58" spans="1:10" ht="13.5" thickBot="1">
      <c r="A58" s="13"/>
      <c r="B58" s="13"/>
      <c r="C58" s="13"/>
      <c r="D58" s="13"/>
      <c r="E58" s="13"/>
      <c r="F58" s="1617" t="s">
        <v>729</v>
      </c>
      <c r="G58" s="1617"/>
      <c r="H58" s="1617"/>
      <c r="I58" s="1617"/>
      <c r="J58" s="765"/>
    </row>
    <row r="59" spans="1:10">
      <c r="A59" s="764" t="s">
        <v>565</v>
      </c>
      <c r="J59" s="781"/>
    </row>
    <row r="60" spans="1:10">
      <c r="B60" s="764" t="s">
        <v>73</v>
      </c>
      <c r="F60" s="783">
        <f>Year2!J56</f>
        <v>7.3918178328888899</v>
      </c>
      <c r="G60" s="783">
        <f>Year2!N56</f>
        <v>0</v>
      </c>
      <c r="H60" s="783">
        <f>Year2!Q56</f>
        <v>4.95</v>
      </c>
      <c r="I60" s="783">
        <f>Year2!R56</f>
        <v>12.341817832888889</v>
      </c>
      <c r="J60" s="784"/>
    </row>
    <row r="61" spans="1:10">
      <c r="B61" s="764" t="s">
        <v>91</v>
      </c>
      <c r="F61" s="783">
        <f>Year2!J57</f>
        <v>49.451183679999993</v>
      </c>
      <c r="G61" s="783">
        <f>Year2!N57</f>
        <v>0</v>
      </c>
      <c r="H61" s="783">
        <f>Year2!Q57</f>
        <v>4.2374615384615391</v>
      </c>
      <c r="I61" s="783">
        <f>Year2!R57</f>
        <v>53.688645218461531</v>
      </c>
      <c r="J61" s="785"/>
    </row>
    <row r="62" spans="1:10">
      <c r="C62" s="764" t="s">
        <v>391</v>
      </c>
      <c r="F62" s="783">
        <f>Year2!J58</f>
        <v>0</v>
      </c>
      <c r="G62" s="783">
        <f>Year2!N58</f>
        <v>22.900000000000002</v>
      </c>
      <c r="H62" s="783">
        <f>Year2!Q58</f>
        <v>0</v>
      </c>
      <c r="I62" s="783">
        <f>Year2!R58</f>
        <v>22.900000000000002</v>
      </c>
      <c r="J62" s="785"/>
    </row>
    <row r="63" spans="1:10">
      <c r="B63" s="764" t="s">
        <v>318</v>
      </c>
      <c r="F63" s="783">
        <f>Year2!J59</f>
        <v>7.3630149734160009</v>
      </c>
      <c r="G63" s="783">
        <f>Year2!N59</f>
        <v>0</v>
      </c>
      <c r="H63" s="783">
        <f>Year2!Q59</f>
        <v>4.2408515076923079</v>
      </c>
      <c r="I63" s="783">
        <f>Year2!R59</f>
        <v>11.603866481108309</v>
      </c>
      <c r="J63" s="785"/>
    </row>
    <row r="64" spans="1:10">
      <c r="C64" s="764" t="s">
        <v>301</v>
      </c>
      <c r="F64" s="783">
        <f>Year2!J60</f>
        <v>0</v>
      </c>
      <c r="G64" s="783">
        <f>Year2!N60</f>
        <v>3.1158486549726607</v>
      </c>
      <c r="H64" s="783">
        <f>Year2!Q60</f>
        <v>0</v>
      </c>
      <c r="I64" s="783">
        <f>Year2!R60</f>
        <v>3.1158486549726607</v>
      </c>
      <c r="J64" s="785"/>
    </row>
    <row r="65" spans="1:10">
      <c r="C65" s="764" t="s">
        <v>133</v>
      </c>
      <c r="F65" s="783">
        <f>Year2!J61</f>
        <v>0</v>
      </c>
      <c r="G65" s="783">
        <f>Year2!N61</f>
        <v>60</v>
      </c>
      <c r="H65" s="783">
        <f>Year2!Q61</f>
        <v>0</v>
      </c>
      <c r="I65" s="783">
        <f>Year2!R61</f>
        <v>60</v>
      </c>
      <c r="J65" s="785"/>
    </row>
    <row r="66" spans="1:10">
      <c r="B66" s="764" t="s">
        <v>316</v>
      </c>
      <c r="F66" s="783">
        <f>Year2!J62</f>
        <v>7.3630149734160009</v>
      </c>
      <c r="G66" s="783">
        <f>Year2!N62</f>
        <v>0</v>
      </c>
      <c r="H66" s="783">
        <f>Year2!Q62</f>
        <v>4.2408515076923079</v>
      </c>
      <c r="I66" s="783">
        <f>Year2!R62</f>
        <v>11.603866481108309</v>
      </c>
      <c r="J66" s="785"/>
    </row>
    <row r="67" spans="1:10">
      <c r="C67" s="764" t="s">
        <v>126</v>
      </c>
      <c r="F67" s="783">
        <f>Year2!J63</f>
        <v>0</v>
      </c>
      <c r="G67" s="783">
        <f>Year2!N63</f>
        <v>16</v>
      </c>
      <c r="H67" s="783">
        <f>Year2!Q63</f>
        <v>0</v>
      </c>
      <c r="I67" s="783">
        <f>Year2!R63</f>
        <v>16</v>
      </c>
      <c r="J67" s="785"/>
    </row>
    <row r="68" spans="1:10">
      <c r="C68" s="764" t="s">
        <v>137</v>
      </c>
      <c r="F68" s="783">
        <f>Year2!J64</f>
        <v>0</v>
      </c>
      <c r="G68" s="783">
        <f>Year2!N64</f>
        <v>15</v>
      </c>
      <c r="H68" s="783">
        <f>Year2!Q64</f>
        <v>0</v>
      </c>
      <c r="I68" s="783">
        <f>Year2!R64</f>
        <v>15</v>
      </c>
      <c r="J68" s="785"/>
    </row>
    <row r="69" spans="1:10">
      <c r="B69" s="764" t="s">
        <v>317</v>
      </c>
      <c r="F69" s="783">
        <f>Year2!J65</f>
        <v>7.3630149734160009</v>
      </c>
      <c r="G69" s="783">
        <f>Year2!N65</f>
        <v>0</v>
      </c>
      <c r="H69" s="783">
        <f>Year2!Q65</f>
        <v>4.2408515076923079</v>
      </c>
      <c r="I69" s="783">
        <f>Year2!R65</f>
        <v>11.603866481108309</v>
      </c>
      <c r="J69" s="785"/>
    </row>
    <row r="70" spans="1:10">
      <c r="C70" s="764" t="s">
        <v>293</v>
      </c>
      <c r="F70" s="783">
        <f>Year2!J66</f>
        <v>0</v>
      </c>
      <c r="G70" s="783">
        <f>Year2!N66</f>
        <v>64</v>
      </c>
      <c r="H70" s="783">
        <f>Year2!Q66</f>
        <v>0</v>
      </c>
      <c r="I70" s="783">
        <f>Year2!R66</f>
        <v>64</v>
      </c>
      <c r="J70" s="785"/>
    </row>
    <row r="71" spans="1:10">
      <c r="B71" s="764" t="s">
        <v>316</v>
      </c>
      <c r="F71" s="783">
        <f>Year2!J67</f>
        <v>7.3630149734160009</v>
      </c>
      <c r="G71" s="783">
        <f>Year2!N67</f>
        <v>0</v>
      </c>
      <c r="H71" s="783">
        <f>Year2!Q67</f>
        <v>4.2408515076923079</v>
      </c>
      <c r="I71" s="783">
        <f>Year2!R67</f>
        <v>11.603866481108309</v>
      </c>
      <c r="J71" s="785"/>
    </row>
    <row r="72" spans="1:10">
      <c r="C72" s="764" t="s">
        <v>294</v>
      </c>
      <c r="F72" s="783">
        <f>Year2!J68</f>
        <v>0</v>
      </c>
      <c r="G72" s="783">
        <f>Year2!N68</f>
        <v>70</v>
      </c>
      <c r="H72" s="783">
        <f>Year2!Q68</f>
        <v>0</v>
      </c>
      <c r="I72" s="783">
        <f>Year2!R68</f>
        <v>70</v>
      </c>
      <c r="J72" s="785"/>
    </row>
    <row r="73" spans="1:10">
      <c r="B73" s="764" t="s">
        <v>558</v>
      </c>
      <c r="F73" s="783">
        <f>Year2!J69</f>
        <v>0</v>
      </c>
      <c r="G73" s="783">
        <f>Year2!N69</f>
        <v>0</v>
      </c>
      <c r="H73" s="783">
        <f>Year2!Q69</f>
        <v>4.2374615384615391</v>
      </c>
      <c r="I73" s="783">
        <f>Year2!R69</f>
        <v>4.2374615384615391</v>
      </c>
      <c r="J73" s="785"/>
    </row>
    <row r="74" spans="1:10">
      <c r="B74" s="764" t="s">
        <v>106</v>
      </c>
      <c r="F74" s="783">
        <f>Year2!J70</f>
        <v>487.90103599999998</v>
      </c>
      <c r="G74" s="783">
        <f>Year2!N70</f>
        <v>0</v>
      </c>
      <c r="H74" s="783">
        <f>Year2!Q70</f>
        <v>42.374615384615389</v>
      </c>
      <c r="I74" s="783">
        <f>Year2!R70</f>
        <v>530.27565138461534</v>
      </c>
      <c r="J74" s="785"/>
    </row>
    <row r="75" spans="1:10">
      <c r="B75" s="764" t="s">
        <v>136</v>
      </c>
      <c r="F75" s="783">
        <f>Year2!J71</f>
        <v>0</v>
      </c>
      <c r="G75" s="783">
        <f>Year2!N71</f>
        <v>150</v>
      </c>
      <c r="H75" s="783">
        <f>Year2!Q71</f>
        <v>0</v>
      </c>
      <c r="I75" s="783">
        <f>Year2!R71</f>
        <v>150</v>
      </c>
      <c r="J75" s="785"/>
    </row>
    <row r="76" spans="1:10">
      <c r="A76" s="137" t="s">
        <v>29</v>
      </c>
      <c r="B76" s="788"/>
      <c r="C76" s="788"/>
      <c r="D76" s="788"/>
      <c r="E76" s="788"/>
      <c r="F76" s="191">
        <f>Year2!J72</f>
        <v>574.19609740655289</v>
      </c>
      <c r="G76" s="191">
        <f>Year2!N72</f>
        <v>407.01584865497267</v>
      </c>
      <c r="H76" s="191">
        <f>Year2!Q72</f>
        <v>72.762944492307696</v>
      </c>
      <c r="I76" s="191">
        <f>Year2!R72</f>
        <v>1053.9748905538331</v>
      </c>
      <c r="J76" s="785"/>
    </row>
    <row r="77" spans="1:10">
      <c r="A77" s="764" t="s">
        <v>105</v>
      </c>
      <c r="F77" s="783" t="s">
        <v>7</v>
      </c>
      <c r="G77" s="783" t="s">
        <v>7</v>
      </c>
      <c r="H77" s="783" t="s">
        <v>7</v>
      </c>
      <c r="I77" s="783" t="s">
        <v>7</v>
      </c>
    </row>
    <row r="78" spans="1:10">
      <c r="B78" s="764" t="s">
        <v>491</v>
      </c>
      <c r="F78" s="783">
        <f>Year2!J74</f>
        <v>0</v>
      </c>
      <c r="G78" s="783">
        <f>Year2!N74</f>
        <v>6</v>
      </c>
      <c r="H78" s="783">
        <f>Year2!Q74</f>
        <v>0</v>
      </c>
      <c r="I78" s="783">
        <f>Year2!R74</f>
        <v>6</v>
      </c>
      <c r="J78" s="784"/>
    </row>
    <row r="79" spans="1:10">
      <c r="B79" s="764" t="s">
        <v>100</v>
      </c>
      <c r="F79" s="783">
        <f>Year2!J75</f>
        <v>7.3918178328888899</v>
      </c>
      <c r="G79" s="783">
        <f>Year2!N75</f>
        <v>0</v>
      </c>
      <c r="H79" s="783">
        <f>Year2!Q75</f>
        <v>4.95</v>
      </c>
      <c r="I79" s="783">
        <f>Year2!R75</f>
        <v>12.341817832888889</v>
      </c>
      <c r="J79" s="785"/>
    </row>
    <row r="80" spans="1:10">
      <c r="B80" s="764" t="s">
        <v>558</v>
      </c>
      <c r="F80" s="783">
        <f>Year2!J76</f>
        <v>0</v>
      </c>
      <c r="G80" s="783">
        <f>Year2!N76</f>
        <v>0</v>
      </c>
      <c r="H80" s="783">
        <f>Year2!Q76</f>
        <v>4.2374615384615391</v>
      </c>
      <c r="I80" s="783">
        <f>Year2!R76</f>
        <v>4.2374615384615391</v>
      </c>
      <c r="J80" s="785"/>
    </row>
    <row r="81" spans="2:10">
      <c r="B81" s="764" t="s">
        <v>136</v>
      </c>
      <c r="F81" s="783">
        <f>Year2!J77</f>
        <v>0</v>
      </c>
      <c r="G81" s="783">
        <f>Year2!N77</f>
        <v>150</v>
      </c>
      <c r="H81" s="783">
        <f>Year2!Q77</f>
        <v>0</v>
      </c>
      <c r="I81" s="783">
        <f>Year2!R77</f>
        <v>150</v>
      </c>
      <c r="J81" s="785"/>
    </row>
    <row r="82" spans="2:10">
      <c r="B82" s="764" t="s">
        <v>316</v>
      </c>
      <c r="F82" s="783">
        <f>Year2!J78</f>
        <v>7.3630149734160009</v>
      </c>
      <c r="G82" s="783">
        <f>Year2!N78</f>
        <v>0</v>
      </c>
      <c r="H82" s="783">
        <f>Year2!Q78</f>
        <v>4.2408515076923079</v>
      </c>
      <c r="I82" s="783">
        <f>Year2!R78</f>
        <v>11.603866481108309</v>
      </c>
      <c r="J82" s="785"/>
    </row>
    <row r="83" spans="2:10">
      <c r="C83" s="764" t="s">
        <v>133</v>
      </c>
      <c r="F83" s="783">
        <f>Year2!J79</f>
        <v>0</v>
      </c>
      <c r="G83" s="783">
        <f>Year2!N79</f>
        <v>60</v>
      </c>
      <c r="H83" s="783">
        <f>Year2!Q79</f>
        <v>0</v>
      </c>
      <c r="I83" s="783">
        <f>Year2!R79</f>
        <v>60</v>
      </c>
      <c r="J83" s="785"/>
    </row>
    <row r="84" spans="2:10">
      <c r="B84" s="764" t="s">
        <v>316</v>
      </c>
      <c r="F84" s="783">
        <f>Year2!J80</f>
        <v>7.3630149734160009</v>
      </c>
      <c r="G84" s="783">
        <f>Year2!N80</f>
        <v>0</v>
      </c>
      <c r="H84" s="783">
        <f>Year2!Q80</f>
        <v>4.2408515076923079</v>
      </c>
      <c r="I84" s="783">
        <f>Year2!R80</f>
        <v>11.603866481108309</v>
      </c>
      <c r="J84" s="785"/>
    </row>
    <row r="85" spans="2:10">
      <c r="C85" s="764" t="s">
        <v>294</v>
      </c>
      <c r="F85" s="783">
        <f>Year2!J81</f>
        <v>0</v>
      </c>
      <c r="G85" s="783">
        <f>Year2!N81</f>
        <v>70</v>
      </c>
      <c r="H85" s="783">
        <f>Year2!Q81</f>
        <v>0</v>
      </c>
      <c r="I85" s="783">
        <f>Year2!R81</f>
        <v>70</v>
      </c>
      <c r="J85" s="785"/>
    </row>
    <row r="86" spans="2:10">
      <c r="B86" s="764" t="s">
        <v>318</v>
      </c>
      <c r="F86" s="783">
        <f>Year2!J82</f>
        <v>7.3630149734160009</v>
      </c>
      <c r="G86" s="783">
        <f>Year2!N82</f>
        <v>0</v>
      </c>
      <c r="H86" s="783">
        <f>Year2!Q82</f>
        <v>4.2408515076923079</v>
      </c>
      <c r="I86" s="783">
        <f>Year2!R82</f>
        <v>11.603866481108309</v>
      </c>
      <c r="J86" s="785"/>
    </row>
    <row r="87" spans="2:10">
      <c r="C87" s="764" t="s">
        <v>137</v>
      </c>
      <c r="F87" s="783">
        <f>Year2!J83</f>
        <v>0</v>
      </c>
      <c r="G87" s="783">
        <f>Year2!N83</f>
        <v>15</v>
      </c>
      <c r="H87" s="783">
        <f>Year2!Q83</f>
        <v>0</v>
      </c>
      <c r="I87" s="783">
        <f>Year2!R83</f>
        <v>15</v>
      </c>
      <c r="J87" s="785"/>
    </row>
    <row r="88" spans="2:10">
      <c r="C88" s="764" t="s">
        <v>299</v>
      </c>
      <c r="F88" s="783">
        <f>Year2!J84</f>
        <v>0</v>
      </c>
      <c r="G88" s="783">
        <f>Year2!N84</f>
        <v>27.96</v>
      </c>
      <c r="H88" s="783">
        <f>Year2!Q84</f>
        <v>0</v>
      </c>
      <c r="I88" s="783">
        <f>Year2!R84</f>
        <v>27.96</v>
      </c>
      <c r="J88" s="785"/>
    </row>
    <row r="89" spans="2:10">
      <c r="B89" s="764" t="s">
        <v>106</v>
      </c>
      <c r="F89" s="783">
        <f>Year2!J85</f>
        <v>390.32082879999996</v>
      </c>
      <c r="G89" s="783">
        <f>Year2!N85</f>
        <v>0</v>
      </c>
      <c r="H89" s="783">
        <f>Year2!Q85</f>
        <v>33.899692307692312</v>
      </c>
      <c r="I89" s="783">
        <f>Year2!R85</f>
        <v>424.22052110769226</v>
      </c>
      <c r="J89" s="785"/>
    </row>
    <row r="90" spans="2:10">
      <c r="B90" s="764" t="s">
        <v>650</v>
      </c>
      <c r="F90" s="783">
        <v>0</v>
      </c>
      <c r="G90" s="783">
        <f>Year2!R86</f>
        <v>195.5</v>
      </c>
      <c r="H90" s="783">
        <v>0</v>
      </c>
      <c r="I90" s="783">
        <f>Year2!R86</f>
        <v>195.5</v>
      </c>
      <c r="J90" s="790"/>
    </row>
    <row r="91" spans="2:10">
      <c r="B91" s="764" t="s">
        <v>345</v>
      </c>
      <c r="J91" s="790"/>
    </row>
    <row r="92" spans="2:10">
      <c r="C92" s="792" t="s">
        <v>498</v>
      </c>
      <c r="F92" s="783">
        <f>Year2!J87</f>
        <v>0</v>
      </c>
      <c r="G92" s="783">
        <f>Year2!N87</f>
        <v>0</v>
      </c>
      <c r="H92" s="783">
        <f>Year2!Q87</f>
        <v>2566.666666666667</v>
      </c>
      <c r="I92" s="783">
        <f>Year2!R87</f>
        <v>2566.666666666667</v>
      </c>
      <c r="J92" s="784"/>
    </row>
    <row r="93" spans="2:10">
      <c r="C93" s="792" t="s">
        <v>864</v>
      </c>
      <c r="F93" s="783">
        <f>Year2!J88</f>
        <v>0</v>
      </c>
      <c r="G93" s="783">
        <f>Year2!N88</f>
        <v>0</v>
      </c>
      <c r="H93" s="783">
        <f>Year2!Q88</f>
        <v>366.66666666666669</v>
      </c>
      <c r="I93" s="783">
        <f>Year2!R88</f>
        <v>366.66666666666669</v>
      </c>
      <c r="J93" s="785"/>
    </row>
    <row r="94" spans="2:10">
      <c r="C94" s="764" t="s">
        <v>563</v>
      </c>
      <c r="F94" s="783">
        <f>Year2!J89</f>
        <v>29.154328298163101</v>
      </c>
      <c r="G94" s="783">
        <f>Year2!N89</f>
        <v>0</v>
      </c>
      <c r="H94" s="783">
        <f>Year2!Q89</f>
        <v>120.12</v>
      </c>
      <c r="I94" s="783">
        <f>Year2!R89</f>
        <v>149.27432829816311</v>
      </c>
      <c r="J94" s="785"/>
    </row>
    <row r="95" spans="2:10">
      <c r="C95" s="764" t="s">
        <v>544</v>
      </c>
      <c r="F95" s="783">
        <f>Year2!J90</f>
        <v>0</v>
      </c>
      <c r="G95" s="783">
        <f>Year2!N90</f>
        <v>0</v>
      </c>
      <c r="H95" s="783">
        <f>Year2!Q90</f>
        <v>183.33333333333334</v>
      </c>
      <c r="I95" s="783">
        <f>Year2!R90</f>
        <v>183.33333333333334</v>
      </c>
      <c r="J95" s="785"/>
    </row>
    <row r="96" spans="2:10">
      <c r="B96" s="764" t="s">
        <v>384</v>
      </c>
      <c r="E96" s="764" t="s">
        <v>7</v>
      </c>
      <c r="F96" s="783">
        <f>Year2!J91</f>
        <v>297.85875249999998</v>
      </c>
      <c r="G96" s="783">
        <f>Year2!N91</f>
        <v>0</v>
      </c>
      <c r="H96" s="783">
        <f>Year2!Q91</f>
        <v>0</v>
      </c>
      <c r="I96" s="783">
        <f>Year2!R91</f>
        <v>297.85875249999998</v>
      </c>
      <c r="J96" s="785"/>
    </row>
    <row r="97" spans="1:10">
      <c r="B97" s="764" t="s">
        <v>559</v>
      </c>
      <c r="E97" s="764" t="s">
        <v>7</v>
      </c>
      <c r="F97" s="783">
        <f>Year2!J92</f>
        <v>56.783511464968171</v>
      </c>
      <c r="G97" s="783">
        <f>Year2!N92</f>
        <v>0</v>
      </c>
      <c r="H97" s="783">
        <f>Year2!Q92</f>
        <v>0</v>
      </c>
      <c r="I97" s="783">
        <f>Year2!R92</f>
        <v>56.783511464968171</v>
      </c>
      <c r="J97" s="785"/>
    </row>
    <row r="98" spans="1:10">
      <c r="B98" s="764" t="s">
        <v>560</v>
      </c>
      <c r="E98" s="764" t="s">
        <v>7</v>
      </c>
      <c r="F98" s="783">
        <f>Year2!J93</f>
        <v>28.446334133333334</v>
      </c>
      <c r="G98" s="783">
        <f>Year2!N93</f>
        <v>0</v>
      </c>
      <c r="H98" s="783">
        <f>Year2!Q93</f>
        <v>13.559876923076924</v>
      </c>
      <c r="I98" s="783">
        <f>Year2!R93</f>
        <v>42.006211056410258</v>
      </c>
      <c r="J98" s="785"/>
    </row>
    <row r="99" spans="1:10">
      <c r="B99" s="764" t="s">
        <v>100</v>
      </c>
      <c r="F99" s="783">
        <f>Year2!J94</f>
        <v>7.3918178328888899</v>
      </c>
      <c r="G99" s="783">
        <f>Year2!N94</f>
        <v>0</v>
      </c>
      <c r="H99" s="783">
        <f>Year2!Q94</f>
        <v>4.95</v>
      </c>
      <c r="I99" s="783">
        <f>Year2!R94</f>
        <v>12.341817832888889</v>
      </c>
      <c r="J99" s="785"/>
    </row>
    <row r="100" spans="1:10">
      <c r="A100" s="137" t="s">
        <v>107</v>
      </c>
      <c r="B100" s="788"/>
      <c r="C100" s="788"/>
      <c r="D100" s="788"/>
      <c r="E100" s="788"/>
      <c r="F100" s="191">
        <f>Year2!J95</f>
        <v>839.43643578249043</v>
      </c>
      <c r="G100" s="191">
        <f>Year2!N95</f>
        <v>524.46</v>
      </c>
      <c r="H100" s="191">
        <f>Year2!Q95</f>
        <v>3311.1062519589746</v>
      </c>
      <c r="I100" s="191">
        <f>Year2!R95</f>
        <v>4675.0026877414657</v>
      </c>
      <c r="J100" s="785"/>
    </row>
    <row r="101" spans="1:10">
      <c r="A101" s="764" t="s">
        <v>108</v>
      </c>
      <c r="F101" s="783" t="s">
        <v>7</v>
      </c>
      <c r="G101" s="783" t="s">
        <v>7</v>
      </c>
      <c r="H101" s="783" t="s">
        <v>7</v>
      </c>
      <c r="I101" s="783" t="s">
        <v>7</v>
      </c>
    </row>
    <row r="102" spans="1:10">
      <c r="B102" s="764" t="s">
        <v>491</v>
      </c>
      <c r="F102" s="783">
        <f>Year2!J97</f>
        <v>0</v>
      </c>
      <c r="G102" s="783">
        <f>Year2!N97</f>
        <v>6</v>
      </c>
      <c r="H102" s="783">
        <f>Year2!Q97</f>
        <v>0</v>
      </c>
      <c r="I102" s="783">
        <f>Year2!R97</f>
        <v>6</v>
      </c>
      <c r="J102" s="784"/>
    </row>
    <row r="103" spans="1:10">
      <c r="B103" s="764" t="s">
        <v>106</v>
      </c>
      <c r="F103" s="783">
        <f>Year2!J98</f>
        <v>487.90103599999998</v>
      </c>
      <c r="G103" s="783">
        <f>Year2!N98</f>
        <v>0</v>
      </c>
      <c r="H103" s="783">
        <f>Year2!Q98</f>
        <v>42.374615384615389</v>
      </c>
      <c r="I103" s="783">
        <f>Year2!R98</f>
        <v>530.27565138461534</v>
      </c>
      <c r="J103" s="785"/>
    </row>
    <row r="104" spans="1:10">
      <c r="B104" s="764" t="s">
        <v>138</v>
      </c>
      <c r="F104" s="783">
        <f>Year2!J99</f>
        <v>0</v>
      </c>
      <c r="G104" s="783">
        <f>Year2!N99</f>
        <v>5</v>
      </c>
      <c r="H104" s="783">
        <f>Year2!Q99</f>
        <v>0</v>
      </c>
      <c r="I104" s="783">
        <f>Year2!R99</f>
        <v>5</v>
      </c>
      <c r="J104" s="785"/>
    </row>
    <row r="105" spans="1:10">
      <c r="B105" s="764" t="s">
        <v>139</v>
      </c>
      <c r="F105" s="783">
        <f>Year2!J100</f>
        <v>2.773333333333333</v>
      </c>
      <c r="G105" s="783">
        <v>0</v>
      </c>
      <c r="H105" s="783">
        <f>Year2!Q100</f>
        <v>67.799384615384625</v>
      </c>
      <c r="I105" s="783">
        <f>Year2!R100</f>
        <v>70.572717948717951</v>
      </c>
      <c r="J105" s="785"/>
    </row>
    <row r="106" spans="1:10">
      <c r="B106" s="764" t="s">
        <v>100</v>
      </c>
      <c r="F106" s="783">
        <f>Year2!J101</f>
        <v>7.3918178328888899</v>
      </c>
      <c r="G106" s="783">
        <f>Year2!N101</f>
        <v>0</v>
      </c>
      <c r="H106" s="783">
        <f>Year2!Q101</f>
        <v>5.084953846153847</v>
      </c>
      <c r="I106" s="783">
        <f>Year2!R101</f>
        <v>12.476771679042738</v>
      </c>
      <c r="J106" s="785"/>
    </row>
    <row r="107" spans="1:10">
      <c r="B107" s="764" t="s">
        <v>316</v>
      </c>
      <c r="F107" s="783">
        <f>Year2!J102</f>
        <v>7.3630149734160009</v>
      </c>
      <c r="G107" s="783">
        <f>Year2!N102</f>
        <v>0</v>
      </c>
      <c r="H107" s="783">
        <f>Year2!Q102</f>
        <v>4.2408515076923079</v>
      </c>
      <c r="I107" s="783">
        <f>Year2!R102</f>
        <v>11.603866481108309</v>
      </c>
      <c r="J107" s="785"/>
    </row>
    <row r="108" spans="1:10">
      <c r="C108" s="764" t="s">
        <v>292</v>
      </c>
      <c r="F108" s="783">
        <f>Year2!J103</f>
        <v>0</v>
      </c>
      <c r="G108" s="783">
        <f>Year2!N103</f>
        <v>20</v>
      </c>
      <c r="H108" s="783">
        <f>Year2!Q103</f>
        <v>0</v>
      </c>
      <c r="I108" s="783">
        <f>Year2!R103</f>
        <v>20</v>
      </c>
      <c r="J108" s="785"/>
    </row>
    <row r="109" spans="1:10">
      <c r="B109" s="764" t="s">
        <v>316</v>
      </c>
      <c r="F109" s="783">
        <f>Year2!J104</f>
        <v>7.3630149734160009</v>
      </c>
      <c r="G109" s="783">
        <f>Year2!N104</f>
        <v>0</v>
      </c>
      <c r="H109" s="783">
        <f>Year2!Q104</f>
        <v>4.2408515076923079</v>
      </c>
      <c r="I109" s="783">
        <f>Year2!R104</f>
        <v>11.603866481108309</v>
      </c>
      <c r="J109" s="784"/>
    </row>
    <row r="110" spans="1:10" ht="13.5" thickBot="1">
      <c r="C110" s="764" t="s">
        <v>294</v>
      </c>
      <c r="F110" s="783">
        <f>Year2!J105</f>
        <v>0</v>
      </c>
      <c r="G110" s="783">
        <f>Year2!N105</f>
        <v>70</v>
      </c>
      <c r="H110" s="783">
        <f>Year2!Q105</f>
        <v>0</v>
      </c>
      <c r="I110" s="783">
        <f>Year2!R105</f>
        <v>70</v>
      </c>
      <c r="J110" s="785"/>
    </row>
    <row r="111" spans="1:10">
      <c r="A111" s="132"/>
      <c r="B111" s="132"/>
      <c r="C111" s="132"/>
      <c r="D111" s="132"/>
      <c r="E111" s="132"/>
      <c r="F111" s="791" t="s">
        <v>144</v>
      </c>
      <c r="G111" s="791" t="s">
        <v>145</v>
      </c>
      <c r="H111" s="791" t="s">
        <v>146</v>
      </c>
      <c r="I111" s="791" t="s">
        <v>147</v>
      </c>
      <c r="J111" s="791" t="s">
        <v>483</v>
      </c>
    </row>
    <row r="112" spans="1:10" ht="13.5" thickBot="1">
      <c r="A112" s="134" t="s">
        <v>8</v>
      </c>
      <c r="B112" s="134" t="s">
        <v>484</v>
      </c>
      <c r="C112" s="134"/>
      <c r="D112" s="134"/>
      <c r="E112" s="134"/>
      <c r="F112" s="782" t="s">
        <v>249</v>
      </c>
      <c r="G112" s="782" t="s">
        <v>249</v>
      </c>
      <c r="H112" s="782" t="s">
        <v>249</v>
      </c>
      <c r="I112" s="782" t="s">
        <v>249</v>
      </c>
      <c r="J112" s="782" t="s">
        <v>249</v>
      </c>
    </row>
    <row r="113" spans="1:10" ht="13.5" thickBot="1">
      <c r="A113" s="13"/>
      <c r="B113" s="13"/>
      <c r="C113" s="13"/>
      <c r="D113" s="13"/>
      <c r="E113" s="13"/>
      <c r="F113" s="1617" t="s">
        <v>729</v>
      </c>
      <c r="G113" s="1617"/>
      <c r="H113" s="1617"/>
      <c r="I113" s="1617"/>
      <c r="J113" s="765"/>
    </row>
    <row r="114" spans="1:10">
      <c r="A114" s="787" t="s">
        <v>566</v>
      </c>
      <c r="B114" s="13"/>
      <c r="C114" s="13"/>
      <c r="D114" s="13"/>
      <c r="E114" s="13"/>
      <c r="J114" s="791"/>
    </row>
    <row r="115" spans="1:10">
      <c r="B115" s="764" t="s">
        <v>315</v>
      </c>
      <c r="F115" s="783">
        <f>Year2!J106</f>
        <v>7.3630149734160009</v>
      </c>
      <c r="G115" s="783">
        <f>Year2!N106</f>
        <v>0</v>
      </c>
      <c r="H115" s="783">
        <f>Year2!Q106</f>
        <v>4.2408515076923079</v>
      </c>
      <c r="I115" s="783">
        <f>Year2!R106</f>
        <v>11.603866481108309</v>
      </c>
      <c r="J115" s="785"/>
    </row>
    <row r="116" spans="1:10">
      <c r="C116" s="764" t="s">
        <v>295</v>
      </c>
      <c r="F116" s="783">
        <f>Year2!J107</f>
        <v>0</v>
      </c>
      <c r="G116" s="783">
        <f>Year2!N107</f>
        <v>3.1158486549726607</v>
      </c>
      <c r="H116" s="783">
        <f>Year2!Q107</f>
        <v>0</v>
      </c>
      <c r="I116" s="783">
        <f>Year2!R107</f>
        <v>3.1158486549726607</v>
      </c>
      <c r="J116" s="785"/>
    </row>
    <row r="117" spans="1:10">
      <c r="B117" s="764" t="s">
        <v>558</v>
      </c>
      <c r="F117" s="783">
        <f>Year2!J108</f>
        <v>0</v>
      </c>
      <c r="G117" s="783">
        <f>Year2!N108</f>
        <v>0</v>
      </c>
      <c r="H117" s="783">
        <f>Year2!Q108</f>
        <v>3.8137153846153851</v>
      </c>
      <c r="I117" s="783">
        <f>Year2!R108</f>
        <v>3.8137153846153851</v>
      </c>
      <c r="J117" s="785"/>
    </row>
    <row r="118" spans="1:10">
      <c r="B118" s="764" t="s">
        <v>345</v>
      </c>
      <c r="F118" s="783"/>
      <c r="G118" s="783"/>
      <c r="H118" s="783"/>
      <c r="I118" s="783"/>
      <c r="J118" s="790"/>
    </row>
    <row r="119" spans="1:10">
      <c r="C119" s="792" t="s">
        <v>498</v>
      </c>
      <c r="F119" s="783">
        <f>Year2!J109</f>
        <v>0</v>
      </c>
      <c r="G119" s="783">
        <f>Year2!N109</f>
        <v>0</v>
      </c>
      <c r="H119" s="783">
        <f>Year2!Q109</f>
        <v>2566.666666666667</v>
      </c>
      <c r="I119" s="783">
        <f>Year2!R109</f>
        <v>2566.666666666667</v>
      </c>
      <c r="J119" s="784"/>
    </row>
    <row r="120" spans="1:10">
      <c r="C120" s="792" t="s">
        <v>864</v>
      </c>
      <c r="F120" s="783">
        <f>Year2!J110</f>
        <v>0</v>
      </c>
      <c r="G120" s="783">
        <f>Year2!N110</f>
        <v>0</v>
      </c>
      <c r="H120" s="783">
        <f>Year2!Q110</f>
        <v>366.66666666666669</v>
      </c>
      <c r="I120" s="783">
        <f>Year2!R110</f>
        <v>366.66666666666669</v>
      </c>
      <c r="J120" s="785"/>
    </row>
    <row r="121" spans="1:10">
      <c r="C121" s="764" t="s">
        <v>563</v>
      </c>
      <c r="F121" s="783">
        <f>Year2!J111</f>
        <v>29.154328298163101</v>
      </c>
      <c r="G121" s="783">
        <f>Year2!N111</f>
        <v>0</v>
      </c>
      <c r="H121" s="783">
        <f>Year2!Q111</f>
        <v>120.12</v>
      </c>
      <c r="I121" s="783">
        <f>Year2!R111</f>
        <v>149.27432829816311</v>
      </c>
      <c r="J121" s="785"/>
    </row>
    <row r="122" spans="1:10">
      <c r="C122" s="764" t="s">
        <v>544</v>
      </c>
      <c r="F122" s="783">
        <f>Year2!J112</f>
        <v>0</v>
      </c>
      <c r="G122" s="783">
        <f>Year2!N112</f>
        <v>0</v>
      </c>
      <c r="H122" s="783">
        <f>Year2!Q112</f>
        <v>183.33333333333334</v>
      </c>
      <c r="I122" s="783">
        <f>Year2!R112</f>
        <v>183.33333333333334</v>
      </c>
      <c r="J122" s="785"/>
    </row>
    <row r="123" spans="1:10">
      <c r="C123" s="764" t="s">
        <v>612</v>
      </c>
      <c r="F123" s="783">
        <f>Year2!M113</f>
        <v>0</v>
      </c>
      <c r="G123" s="783">
        <f>Year2!N113</f>
        <v>0</v>
      </c>
      <c r="H123" s="783">
        <f>Year2!Q113</f>
        <v>169.49846153846156</v>
      </c>
      <c r="I123" s="783">
        <f>Year2!R113</f>
        <v>169.49846153846156</v>
      </c>
      <c r="J123" s="785"/>
    </row>
    <row r="124" spans="1:10">
      <c r="B124" s="764" t="s">
        <v>384</v>
      </c>
      <c r="E124" s="764" t="s">
        <v>7</v>
      </c>
      <c r="F124" s="783">
        <f>Year2!J114</f>
        <v>307.7873775833333</v>
      </c>
      <c r="G124" s="783">
        <f>Year2!N114</f>
        <v>0</v>
      </c>
      <c r="H124" s="783">
        <f>Year2!Q114</f>
        <v>0</v>
      </c>
      <c r="I124" s="783">
        <f>Year2!R114</f>
        <v>307.7873775833333</v>
      </c>
      <c r="J124" s="785"/>
    </row>
    <row r="125" spans="1:10">
      <c r="B125" s="764" t="s">
        <v>559</v>
      </c>
      <c r="E125" s="764" t="s">
        <v>7</v>
      </c>
      <c r="F125" s="783">
        <f>Year2!J115</f>
        <v>58.967492675159249</v>
      </c>
      <c r="G125" s="783">
        <f>Year2!N115</f>
        <v>0</v>
      </c>
      <c r="H125" s="783">
        <f>Year2!Q115</f>
        <v>0</v>
      </c>
      <c r="I125" s="783">
        <f>Year2!R115</f>
        <v>58.967492675159249</v>
      </c>
      <c r="J125" s="785"/>
    </row>
    <row r="126" spans="1:10">
      <c r="B126" s="764" t="s">
        <v>560</v>
      </c>
      <c r="E126" s="764" t="s">
        <v>7</v>
      </c>
      <c r="F126" s="783">
        <f>Year2!J116</f>
        <v>28.446334133333334</v>
      </c>
      <c r="G126" s="783">
        <f>Year2!N116</f>
        <v>0</v>
      </c>
      <c r="H126" s="783">
        <f>Year2!Q116</f>
        <v>13.559876923076924</v>
      </c>
      <c r="I126" s="783">
        <f>Year2!R116</f>
        <v>42.006211056410258</v>
      </c>
      <c r="J126" s="785"/>
    </row>
    <row r="127" spans="1:10">
      <c r="A127" s="137" t="s">
        <v>109</v>
      </c>
      <c r="B127" s="788"/>
      <c r="C127" s="788"/>
      <c r="D127" s="788"/>
      <c r="E127" s="788"/>
      <c r="F127" s="191">
        <f>Year2!J117</f>
        <v>944.51076477645938</v>
      </c>
      <c r="G127" s="191">
        <f>Year2!N117</f>
        <v>104.11584865497267</v>
      </c>
      <c r="H127" s="191">
        <f>Year2!Q117</f>
        <v>3551.6402288820514</v>
      </c>
      <c r="I127" s="191">
        <f>Year2!R117</f>
        <v>4600.2668423134837</v>
      </c>
      <c r="J127" s="785"/>
    </row>
    <row r="128" spans="1:10">
      <c r="A128" s="764" t="s">
        <v>110</v>
      </c>
      <c r="F128" s="783" t="s">
        <v>7</v>
      </c>
      <c r="G128" s="783" t="s">
        <v>7</v>
      </c>
      <c r="H128" s="783" t="s">
        <v>7</v>
      </c>
      <c r="I128" s="783" t="s">
        <v>7</v>
      </c>
    </row>
    <row r="129" spans="2:10">
      <c r="B129" s="764" t="s">
        <v>491</v>
      </c>
      <c r="F129" s="783">
        <f>Year2!J119</f>
        <v>0</v>
      </c>
      <c r="G129" s="783">
        <f>Year2!N119</f>
        <v>6</v>
      </c>
      <c r="H129" s="783">
        <f>Year2!Q119</f>
        <v>0</v>
      </c>
      <c r="I129" s="783">
        <f>Year2!R119</f>
        <v>6</v>
      </c>
      <c r="J129" s="784"/>
    </row>
    <row r="130" spans="2:10">
      <c r="B130" s="764" t="s">
        <v>100</v>
      </c>
      <c r="F130" s="783">
        <f>Year2!J120</f>
        <v>7.3918178328888899</v>
      </c>
      <c r="G130" s="783">
        <f>Year2!N120</f>
        <v>0</v>
      </c>
      <c r="H130" s="783">
        <f>Year2!Q120</f>
        <v>5.084953846153847</v>
      </c>
      <c r="I130" s="783">
        <f>Year2!R120</f>
        <v>12.476771679042738</v>
      </c>
      <c r="J130" s="785"/>
    </row>
    <row r="131" spans="2:10">
      <c r="B131" s="764" t="s">
        <v>106</v>
      </c>
      <c r="F131" s="783">
        <f>Year2!J121</f>
        <v>390.32082879999996</v>
      </c>
      <c r="G131" s="783">
        <f>Year2!N121</f>
        <v>0</v>
      </c>
      <c r="H131" s="783">
        <f>Year2!Q121</f>
        <v>33.899692307692312</v>
      </c>
      <c r="I131" s="783">
        <f>Year2!R121</f>
        <v>424.22052110769226</v>
      </c>
      <c r="J131" s="785"/>
    </row>
    <row r="132" spans="2:10">
      <c r="B132" s="764" t="s">
        <v>345</v>
      </c>
      <c r="F132" s="783"/>
      <c r="G132" s="783"/>
      <c r="H132" s="783"/>
      <c r="I132" s="783"/>
      <c r="J132" s="790"/>
    </row>
    <row r="133" spans="2:10">
      <c r="C133" s="792" t="s">
        <v>498</v>
      </c>
      <c r="F133" s="783">
        <f>Year2!J122</f>
        <v>0</v>
      </c>
      <c r="G133" s="783">
        <f>Year2!N122</f>
        <v>0</v>
      </c>
      <c r="H133" s="783">
        <f>Year2!Q122</f>
        <v>2566.666666666667</v>
      </c>
      <c r="I133" s="783">
        <f>Year2!R122</f>
        <v>2566.666666666667</v>
      </c>
      <c r="J133" s="784"/>
    </row>
    <row r="134" spans="2:10">
      <c r="C134" s="792" t="s">
        <v>864</v>
      </c>
      <c r="F134" s="783">
        <f>Year2!J123</f>
        <v>0</v>
      </c>
      <c r="G134" s="783">
        <f>Year2!N123</f>
        <v>0</v>
      </c>
      <c r="H134" s="783">
        <f>Year2!Q123</f>
        <v>366.66666666666669</v>
      </c>
      <c r="I134" s="783">
        <f>Year2!R123</f>
        <v>366.66666666666669</v>
      </c>
      <c r="J134" s="785"/>
    </row>
    <row r="135" spans="2:10">
      <c r="C135" s="764" t="s">
        <v>563</v>
      </c>
      <c r="F135" s="783">
        <f>Year2!J124</f>
        <v>30.275648617323217</v>
      </c>
      <c r="G135" s="783">
        <f>Year2!N124</f>
        <v>0</v>
      </c>
      <c r="H135" s="783">
        <f>Year2!Q124</f>
        <v>103.95</v>
      </c>
      <c r="I135" s="783">
        <f>Year2!R124</f>
        <v>134.22564861732323</v>
      </c>
      <c r="J135" s="785"/>
    </row>
    <row r="136" spans="2:10">
      <c r="C136" s="764" t="s">
        <v>544</v>
      </c>
      <c r="F136" s="783">
        <f>Year2!J125</f>
        <v>0</v>
      </c>
      <c r="G136" s="783">
        <f>Year2!N125</f>
        <v>0</v>
      </c>
      <c r="H136" s="783">
        <f>Year2!Q125</f>
        <v>183.33333333333334</v>
      </c>
      <c r="I136" s="783">
        <f>Year2!R125</f>
        <v>183.33333333333334</v>
      </c>
      <c r="J136" s="785"/>
    </row>
    <row r="137" spans="2:10">
      <c r="C137" s="764" t="s">
        <v>612</v>
      </c>
      <c r="F137" s="783">
        <f>Year2!J126</f>
        <v>0</v>
      </c>
      <c r="G137" s="783">
        <f>Year2!N126</f>
        <v>0</v>
      </c>
      <c r="H137" s="783">
        <f>Year2!Q126</f>
        <v>169.49846153846156</v>
      </c>
      <c r="I137" s="783">
        <f>Year2!R126</f>
        <v>169.49846153846156</v>
      </c>
      <c r="J137" s="785"/>
    </row>
    <row r="138" spans="2:10">
      <c r="B138" s="764" t="s">
        <v>384</v>
      </c>
      <c r="E138" s="764" t="s">
        <v>7</v>
      </c>
      <c r="F138" s="783">
        <f>Year2!J127</f>
        <v>307.7873775833333</v>
      </c>
      <c r="G138" s="783">
        <f>Year2!N127</f>
        <v>0</v>
      </c>
      <c r="H138" s="783">
        <f>Year2!Q127</f>
        <v>0</v>
      </c>
      <c r="I138" s="783">
        <f>Year2!R127</f>
        <v>307.7873775833333</v>
      </c>
      <c r="J138" s="785"/>
    </row>
    <row r="139" spans="2:10">
      <c r="B139" s="764" t="s">
        <v>559</v>
      </c>
      <c r="E139" s="764" t="s">
        <v>7</v>
      </c>
      <c r="F139" s="783">
        <f>Year2!J128</f>
        <v>58.967492675159249</v>
      </c>
      <c r="G139" s="783">
        <f>Year2!N128</f>
        <v>0</v>
      </c>
      <c r="H139" s="783">
        <f>Year2!Q128</f>
        <v>0</v>
      </c>
      <c r="I139" s="783">
        <f>Year2!R128</f>
        <v>58.967492675159249</v>
      </c>
      <c r="J139" s="785"/>
    </row>
    <row r="140" spans="2:10">
      <c r="B140" s="764" t="s">
        <v>560</v>
      </c>
      <c r="E140" s="764" t="s">
        <v>7</v>
      </c>
      <c r="F140" s="783">
        <f>Year2!J129</f>
        <v>28.446334133333334</v>
      </c>
      <c r="G140" s="783">
        <f>Year2!N129</f>
        <v>0</v>
      </c>
      <c r="H140" s="783">
        <f>Year2!Q129</f>
        <v>13.559876923076924</v>
      </c>
      <c r="I140" s="783">
        <f>Year2!R129</f>
        <v>42.006211056410258</v>
      </c>
      <c r="J140" s="785"/>
    </row>
    <row r="141" spans="2:10">
      <c r="B141" s="789" t="s">
        <v>582</v>
      </c>
      <c r="D141" s="783">
        <f>Year2!O130</f>
        <v>50</v>
      </c>
      <c r="E141" s="793" t="s">
        <v>583</v>
      </c>
      <c r="F141" s="783">
        <f>Year2!J130</f>
        <v>0.69333333333333325</v>
      </c>
      <c r="G141" s="783">
        <f>Year2!N130</f>
        <v>0</v>
      </c>
      <c r="H141" s="783">
        <f>Year2!Q130</f>
        <v>423.7461538461539</v>
      </c>
      <c r="I141" s="783">
        <f>Year2!R130</f>
        <v>424.43948717948723</v>
      </c>
      <c r="J141" s="785"/>
    </row>
    <row r="142" spans="2:10">
      <c r="B142" s="764" t="s">
        <v>579</v>
      </c>
      <c r="F142" s="783">
        <f>Year2!J131</f>
        <v>0</v>
      </c>
      <c r="G142" s="783">
        <f>Year2!N131</f>
        <v>100</v>
      </c>
      <c r="H142" s="783">
        <f>Year2!Q131</f>
        <v>0</v>
      </c>
      <c r="I142" s="783">
        <f>Year2!R131</f>
        <v>100</v>
      </c>
      <c r="J142" s="785"/>
    </row>
    <row r="143" spans="2:10">
      <c r="B143" s="789" t="s">
        <v>582</v>
      </c>
      <c r="D143" s="783">
        <f>Year2!O132</f>
        <v>50</v>
      </c>
      <c r="E143" s="793" t="s">
        <v>583</v>
      </c>
      <c r="F143" s="783">
        <f>Year2!J132</f>
        <v>0.69333333333333325</v>
      </c>
      <c r="G143" s="783">
        <f>Year2!N132</f>
        <v>0</v>
      </c>
      <c r="H143" s="783">
        <f>Year2!Q132</f>
        <v>423.7461538461539</v>
      </c>
      <c r="I143" s="783">
        <f>Year2!R132</f>
        <v>424.43948717948723</v>
      </c>
      <c r="J143" s="785"/>
    </row>
    <row r="144" spans="2:10">
      <c r="B144" s="764" t="s">
        <v>579</v>
      </c>
      <c r="F144" s="783">
        <f>Year2!J133</f>
        <v>0</v>
      </c>
      <c r="G144" s="783">
        <f>Year2!N133</f>
        <v>100</v>
      </c>
      <c r="H144" s="783">
        <f>Year2!Q133</f>
        <v>0</v>
      </c>
      <c r="I144" s="783">
        <f>Year2!R133</f>
        <v>100</v>
      </c>
      <c r="J144" s="785"/>
    </row>
    <row r="145" spans="1:10">
      <c r="A145" s="137" t="s">
        <v>111</v>
      </c>
      <c r="B145" s="788"/>
      <c r="C145" s="788"/>
      <c r="D145" s="788"/>
      <c r="E145" s="788"/>
      <c r="F145" s="191">
        <f>Year2!J134</f>
        <v>824.57616630870473</v>
      </c>
      <c r="G145" s="191">
        <f>Year2!N134</f>
        <v>206</v>
      </c>
      <c r="H145" s="191">
        <f>Year2!Q134</f>
        <v>4290.1519589743593</v>
      </c>
      <c r="I145" s="191">
        <f>Year2!R134</f>
        <v>5320.7281252830653</v>
      </c>
      <c r="J145" s="785"/>
    </row>
    <row r="146" spans="1:10">
      <c r="A146" s="764" t="s">
        <v>112</v>
      </c>
      <c r="F146" s="783" t="s">
        <v>7</v>
      </c>
      <c r="G146" s="783" t="s">
        <v>7</v>
      </c>
      <c r="H146" s="783" t="s">
        <v>7</v>
      </c>
      <c r="I146" s="783" t="s">
        <v>7</v>
      </c>
    </row>
    <row r="147" spans="1:10">
      <c r="B147" s="764" t="s">
        <v>491</v>
      </c>
      <c r="F147" s="783">
        <f>Year2!J136</f>
        <v>0</v>
      </c>
      <c r="G147" s="783">
        <f>Year2!N136</f>
        <v>6</v>
      </c>
      <c r="H147" s="783">
        <f>Year2!Q136</f>
        <v>0</v>
      </c>
      <c r="I147" s="783">
        <f>Year2!R136</f>
        <v>6</v>
      </c>
      <c r="J147" s="784"/>
    </row>
    <row r="148" spans="1:10">
      <c r="B148" s="789" t="s">
        <v>582</v>
      </c>
      <c r="D148" s="783">
        <f>Year2!O137</f>
        <v>50</v>
      </c>
      <c r="E148" s="793" t="s">
        <v>583</v>
      </c>
      <c r="F148" s="783">
        <f>Year2!J137</f>
        <v>0.69333333333333325</v>
      </c>
      <c r="G148" s="783">
        <f>Year2!N137</f>
        <v>0</v>
      </c>
      <c r="H148" s="783">
        <f>Year2!Q137</f>
        <v>423.7461538461539</v>
      </c>
      <c r="I148" s="783">
        <f>Year2!R137</f>
        <v>424.43948717948723</v>
      </c>
      <c r="J148" s="784"/>
    </row>
    <row r="149" spans="1:10">
      <c r="B149" s="764" t="s">
        <v>579</v>
      </c>
      <c r="F149" s="783">
        <f>Year2!J138</f>
        <v>0</v>
      </c>
      <c r="G149" s="783">
        <f>Year2!N138</f>
        <v>100</v>
      </c>
      <c r="H149" s="783">
        <f>Year2!Q138</f>
        <v>0</v>
      </c>
      <c r="I149" s="783">
        <f>Year2!R138</f>
        <v>100</v>
      </c>
      <c r="J149" s="784"/>
    </row>
    <row r="150" spans="1:10">
      <c r="B150" s="789" t="s">
        <v>582</v>
      </c>
      <c r="D150" s="783">
        <f>Year2!O139</f>
        <v>50</v>
      </c>
      <c r="E150" s="793" t="s">
        <v>583</v>
      </c>
      <c r="F150" s="783">
        <f>Year2!J139</f>
        <v>0.69333333333333325</v>
      </c>
      <c r="G150" s="783">
        <f>Year2!N139</f>
        <v>0</v>
      </c>
      <c r="H150" s="783">
        <f>Year2!Q139</f>
        <v>423.7461538461539</v>
      </c>
      <c r="I150" s="783">
        <f>Year2!R139</f>
        <v>424.43948717948723</v>
      </c>
      <c r="J150" s="785"/>
    </row>
    <row r="151" spans="1:10">
      <c r="B151" s="764" t="s">
        <v>579</v>
      </c>
      <c r="F151" s="783">
        <f>Year2!J140</f>
        <v>0</v>
      </c>
      <c r="G151" s="783">
        <f>Year2!N140</f>
        <v>100</v>
      </c>
      <c r="H151" s="783">
        <f>Year2!Q140</f>
        <v>0</v>
      </c>
      <c r="I151" s="783">
        <f>Year2!R140</f>
        <v>100</v>
      </c>
      <c r="J151" s="785"/>
    </row>
    <row r="152" spans="1:10">
      <c r="A152" s="137" t="s">
        <v>115</v>
      </c>
      <c r="B152" s="788"/>
      <c r="C152" s="788"/>
      <c r="D152" s="788"/>
      <c r="E152" s="788"/>
      <c r="F152" s="191">
        <f>Year2!J141</f>
        <v>1.3866666666666665</v>
      </c>
      <c r="G152" s="191">
        <f>Year2!N141</f>
        <v>206</v>
      </c>
      <c r="H152" s="191">
        <f>Year2!Q141</f>
        <v>847.4923076923078</v>
      </c>
      <c r="I152" s="191">
        <f>Year2!R141</f>
        <v>1054.8789743589746</v>
      </c>
      <c r="J152" s="785"/>
    </row>
    <row r="153" spans="1:10">
      <c r="A153" s="764" t="s">
        <v>27</v>
      </c>
      <c r="F153" s="783" t="s">
        <v>7</v>
      </c>
      <c r="G153" s="783" t="s">
        <v>7</v>
      </c>
      <c r="H153" s="783" t="s">
        <v>7</v>
      </c>
      <c r="I153" s="783" t="s">
        <v>7</v>
      </c>
    </row>
    <row r="154" spans="1:10">
      <c r="B154" s="764" t="s">
        <v>491</v>
      </c>
      <c r="F154" s="783">
        <f>Year2!J143</f>
        <v>0</v>
      </c>
      <c r="G154" s="783">
        <f>Year2!N143</f>
        <v>6</v>
      </c>
      <c r="H154" s="783">
        <f>Year2!Q143</f>
        <v>0</v>
      </c>
      <c r="I154" s="783">
        <f>Year2!R143</f>
        <v>6</v>
      </c>
      <c r="J154" s="784"/>
    </row>
    <row r="155" spans="1:10">
      <c r="A155" s="137" t="s">
        <v>37</v>
      </c>
      <c r="B155" s="788"/>
      <c r="C155" s="788"/>
      <c r="D155" s="788"/>
      <c r="E155" s="788"/>
      <c r="F155" s="191">
        <f>Year2!J144</f>
        <v>0</v>
      </c>
      <c r="G155" s="191">
        <f>Year2!N144</f>
        <v>6</v>
      </c>
      <c r="H155" s="191">
        <f>Year2!Q144</f>
        <v>0</v>
      </c>
      <c r="I155" s="191">
        <f>Year2!R144</f>
        <v>6</v>
      </c>
      <c r="J155" s="785"/>
    </row>
    <row r="156" spans="1:10">
      <c r="A156" s="764" t="s">
        <v>0</v>
      </c>
      <c r="F156" s="783" t="s">
        <v>7</v>
      </c>
      <c r="G156" s="783" t="s">
        <v>7</v>
      </c>
      <c r="H156" s="783" t="s">
        <v>7</v>
      </c>
      <c r="I156" s="783" t="s">
        <v>7</v>
      </c>
    </row>
    <row r="157" spans="1:10">
      <c r="B157" s="764" t="s">
        <v>491</v>
      </c>
      <c r="F157" s="783">
        <f>Year2!J146</f>
        <v>0</v>
      </c>
      <c r="G157" s="783">
        <f>Year2!N146</f>
        <v>6</v>
      </c>
      <c r="H157" s="783">
        <f>Year2!Q146</f>
        <v>0</v>
      </c>
      <c r="I157" s="783">
        <f>Year2!R146</f>
        <v>6</v>
      </c>
      <c r="J157" s="784"/>
    </row>
    <row r="158" spans="1:10">
      <c r="B158" s="764" t="s">
        <v>32</v>
      </c>
      <c r="F158" s="783">
        <f>Year2!J147</f>
        <v>5.873084638191</v>
      </c>
      <c r="G158" s="783">
        <f>Year2!N147</f>
        <v>0</v>
      </c>
      <c r="H158" s="783">
        <f>Year2!Q147</f>
        <v>4.2408515076923079</v>
      </c>
      <c r="I158" s="783">
        <f>Year2!R147</f>
        <v>10.113936145883308</v>
      </c>
      <c r="J158" s="785"/>
    </row>
    <row r="159" spans="1:10">
      <c r="C159" s="764" t="s">
        <v>125</v>
      </c>
      <c r="F159" s="783">
        <f>Year2!J148</f>
        <v>0</v>
      </c>
      <c r="G159" s="783">
        <f>Year2!N148</f>
        <v>3.52</v>
      </c>
      <c r="H159" s="783">
        <f>Year2!Q148</f>
        <v>0</v>
      </c>
      <c r="I159" s="783">
        <f>Year2!R148</f>
        <v>3.52</v>
      </c>
      <c r="J159" s="785"/>
    </row>
    <row r="160" spans="1:10">
      <c r="B160" s="764" t="s">
        <v>142</v>
      </c>
      <c r="F160" s="783">
        <f>Year2!J149</f>
        <v>0</v>
      </c>
      <c r="G160" s="783">
        <f>Year2!N149</f>
        <v>0</v>
      </c>
      <c r="H160" s="783">
        <f>Year2!Q149</f>
        <v>169.49846153846156</v>
      </c>
      <c r="I160" s="783">
        <f>Year2!R149</f>
        <v>169.49846153846156</v>
      </c>
      <c r="J160" s="785"/>
    </row>
    <row r="161" spans="1:10">
      <c r="A161" s="137" t="s">
        <v>1</v>
      </c>
      <c r="B161" s="137"/>
      <c r="C161" s="137"/>
      <c r="D161" s="137"/>
      <c r="E161" s="137"/>
      <c r="F161" s="191">
        <f>Year2!J150</f>
        <v>5.873084638191</v>
      </c>
      <c r="G161" s="191">
        <f>Year2!N150</f>
        <v>9.52</v>
      </c>
      <c r="H161" s="191">
        <f>Year2!Q150</f>
        <v>173.73931304615385</v>
      </c>
      <c r="I161" s="191">
        <f>Year2!R150</f>
        <v>189.13239768434485</v>
      </c>
      <c r="J161" s="800"/>
    </row>
    <row r="162" spans="1:10">
      <c r="A162" s="764" t="s">
        <v>3</v>
      </c>
      <c r="F162" s="783" t="s">
        <v>7</v>
      </c>
      <c r="G162" s="783" t="s">
        <v>7</v>
      </c>
      <c r="H162" s="783" t="s">
        <v>7</v>
      </c>
      <c r="I162" s="783" t="s">
        <v>7</v>
      </c>
    </row>
    <row r="163" spans="1:10">
      <c r="B163" s="764" t="s">
        <v>491</v>
      </c>
      <c r="F163" s="783">
        <f>Year2!J152</f>
        <v>0</v>
      </c>
      <c r="G163" s="783">
        <f>Year2!N152</f>
        <v>6</v>
      </c>
      <c r="H163" s="783">
        <f>Year2!Q152</f>
        <v>0</v>
      </c>
      <c r="I163" s="783">
        <f>Year2!R152</f>
        <v>6</v>
      </c>
      <c r="J163" s="784"/>
    </row>
    <row r="164" spans="1:10">
      <c r="B164" s="764" t="s">
        <v>32</v>
      </c>
      <c r="F164" s="783">
        <f>Year2!J153</f>
        <v>5.873084638191</v>
      </c>
      <c r="G164" s="783">
        <f>Year2!N153</f>
        <v>0</v>
      </c>
      <c r="H164" s="783">
        <f>Year2!Q153</f>
        <v>4.2408515076923079</v>
      </c>
      <c r="I164" s="783">
        <f>Year2!R153</f>
        <v>10.113936145883308</v>
      </c>
      <c r="J164" s="785"/>
    </row>
    <row r="165" spans="1:10" ht="13.5" thickBot="1">
      <c r="C165" s="764" t="s">
        <v>290</v>
      </c>
      <c r="F165" s="783">
        <f>Year2!J154</f>
        <v>0</v>
      </c>
      <c r="G165" s="783">
        <f>Year2!N154</f>
        <v>92</v>
      </c>
      <c r="H165" s="783">
        <f>Year2!Q154</f>
        <v>0</v>
      </c>
      <c r="I165" s="783">
        <f>Year2!R154</f>
        <v>92</v>
      </c>
      <c r="J165" s="785"/>
    </row>
    <row r="166" spans="1:10">
      <c r="A166" s="132"/>
      <c r="B166" s="132"/>
      <c r="C166" s="132"/>
      <c r="D166" s="132"/>
      <c r="E166" s="132"/>
      <c r="F166" s="791" t="s">
        <v>144</v>
      </c>
      <c r="G166" s="791" t="s">
        <v>145</v>
      </c>
      <c r="H166" s="791" t="s">
        <v>146</v>
      </c>
      <c r="I166" s="791" t="s">
        <v>147</v>
      </c>
      <c r="J166" s="791" t="s">
        <v>483</v>
      </c>
    </row>
    <row r="167" spans="1:10" ht="13.5" thickBot="1">
      <c r="A167" s="134" t="s">
        <v>8</v>
      </c>
      <c r="B167" s="134" t="s">
        <v>484</v>
      </c>
      <c r="C167" s="134"/>
      <c r="D167" s="134"/>
      <c r="E167" s="134"/>
      <c r="F167" s="782" t="s">
        <v>249</v>
      </c>
      <c r="G167" s="782" t="s">
        <v>249</v>
      </c>
      <c r="H167" s="782" t="s">
        <v>249</v>
      </c>
      <c r="I167" s="782" t="s">
        <v>249</v>
      </c>
      <c r="J167" s="782" t="s">
        <v>249</v>
      </c>
    </row>
    <row r="168" spans="1:10">
      <c r="A168" s="13"/>
      <c r="B168" s="13"/>
      <c r="C168" s="13"/>
      <c r="D168" s="13"/>
      <c r="E168" s="13"/>
      <c r="F168" s="1617" t="s">
        <v>729</v>
      </c>
      <c r="G168" s="1617"/>
      <c r="H168" s="1617"/>
      <c r="I168" s="1617"/>
      <c r="J168" s="765"/>
    </row>
    <row r="169" spans="1:10">
      <c r="A169" s="764" t="s">
        <v>613</v>
      </c>
      <c r="J169" s="785"/>
    </row>
    <row r="170" spans="1:10">
      <c r="B170" s="764" t="s">
        <v>32</v>
      </c>
      <c r="F170" s="783">
        <f>Year2!J155</f>
        <v>5.873084638191</v>
      </c>
      <c r="G170" s="783">
        <f>Year2!N155</f>
        <v>0</v>
      </c>
      <c r="H170" s="783">
        <f>Year2!Q155</f>
        <v>4.2408515076923079</v>
      </c>
      <c r="I170" s="783">
        <f>Year2!R155</f>
        <v>10.113936145883308</v>
      </c>
      <c r="J170" s="785"/>
    </row>
    <row r="171" spans="1:10">
      <c r="C171" s="764" t="s">
        <v>291</v>
      </c>
      <c r="F171" s="783">
        <f>Year2!J156</f>
        <v>0</v>
      </c>
      <c r="G171" s="783">
        <f>Year2!N156</f>
        <v>5.25</v>
      </c>
      <c r="H171" s="783">
        <f>Year2!Q156</f>
        <v>0</v>
      </c>
      <c r="I171" s="783">
        <f>Year2!R156</f>
        <v>5.25</v>
      </c>
      <c r="J171" s="785"/>
    </row>
    <row r="172" spans="1:10">
      <c r="A172" s="137" t="s">
        <v>4</v>
      </c>
      <c r="B172" s="788"/>
      <c r="C172" s="788"/>
      <c r="D172" s="788"/>
      <c r="E172" s="788"/>
      <c r="F172" s="191">
        <f>Year2!J157</f>
        <v>11.746169276382</v>
      </c>
      <c r="G172" s="191">
        <f>Year2!N157</f>
        <v>103.25</v>
      </c>
      <c r="H172" s="191">
        <f>Year2!Q157</f>
        <v>8.4817030153846158</v>
      </c>
      <c r="I172" s="191">
        <f>Year2!R157</f>
        <v>123.47787229176663</v>
      </c>
      <c r="J172" s="785"/>
    </row>
    <row r="173" spans="1:10">
      <c r="A173" s="764" t="s">
        <v>486</v>
      </c>
      <c r="F173" s="783" t="s">
        <v>7</v>
      </c>
      <c r="G173" s="783" t="s">
        <v>7</v>
      </c>
      <c r="H173" s="783" t="s">
        <v>7</v>
      </c>
      <c r="I173" s="783" t="s">
        <v>7</v>
      </c>
    </row>
    <row r="174" spans="1:10">
      <c r="B174" s="764" t="s">
        <v>39</v>
      </c>
      <c r="F174" s="783">
        <f>Year2!J159</f>
        <v>0</v>
      </c>
      <c r="G174" s="783">
        <f>Year2!N159</f>
        <v>16</v>
      </c>
      <c r="H174" s="783">
        <f>Year2!Q159</f>
        <v>0</v>
      </c>
      <c r="I174" s="783">
        <f>Year2!R159</f>
        <v>16</v>
      </c>
      <c r="J174" s="784"/>
    </row>
    <row r="175" spans="1:10">
      <c r="B175" s="764" t="s">
        <v>41</v>
      </c>
      <c r="F175" s="783">
        <f>Year2!J160</f>
        <v>0</v>
      </c>
      <c r="G175" s="783">
        <f>Year2!N160</f>
        <v>10</v>
      </c>
      <c r="H175" s="783">
        <f>Year2!Q160</f>
        <v>0</v>
      </c>
      <c r="I175" s="783">
        <f>Year2!R160</f>
        <v>10</v>
      </c>
      <c r="J175" s="785"/>
    </row>
    <row r="176" spans="1:10">
      <c r="B176" s="764" t="s">
        <v>43</v>
      </c>
      <c r="F176" s="783">
        <f>Year2!J161</f>
        <v>0</v>
      </c>
      <c r="G176" s="783">
        <f>Year2!N161</f>
        <v>100</v>
      </c>
      <c r="H176" s="783">
        <f>Year2!Q161</f>
        <v>0</v>
      </c>
      <c r="I176" s="783">
        <f>Year2!R161</f>
        <v>100</v>
      </c>
      <c r="J176" s="785"/>
    </row>
    <row r="177" spans="1:10">
      <c r="B177" s="764" t="s">
        <v>45</v>
      </c>
      <c r="F177" s="783">
        <f>Year2!J162</f>
        <v>0</v>
      </c>
      <c r="G177" s="783">
        <f>Year2!N162</f>
        <v>35</v>
      </c>
      <c r="H177" s="783">
        <f>Year2!Q162</f>
        <v>0</v>
      </c>
      <c r="I177" s="783">
        <f>Year2!R162</f>
        <v>35</v>
      </c>
      <c r="J177" s="785"/>
    </row>
    <row r="178" spans="1:10">
      <c r="B178" s="764" t="s">
        <v>495</v>
      </c>
      <c r="F178" s="783">
        <f>Year2!J163</f>
        <v>0</v>
      </c>
      <c r="G178" s="783">
        <f>Year2!N163</f>
        <v>25</v>
      </c>
      <c r="H178" s="783">
        <f>Year2!Q163</f>
        <v>0</v>
      </c>
      <c r="I178" s="783">
        <f>Year2!R163</f>
        <v>25</v>
      </c>
      <c r="J178" s="784"/>
    </row>
    <row r="179" spans="1:10">
      <c r="B179" s="764" t="s">
        <v>119</v>
      </c>
      <c r="F179" s="783">
        <f>Year2!J164</f>
        <v>0</v>
      </c>
      <c r="G179" s="783">
        <f>Year2!N164</f>
        <v>836.04</v>
      </c>
      <c r="H179" s="783">
        <f>Year2!Q164</f>
        <v>0</v>
      </c>
      <c r="I179" s="783">
        <f>Year2!R164</f>
        <v>836.04</v>
      </c>
      <c r="J179" s="785"/>
    </row>
    <row r="180" spans="1:10">
      <c r="A180" s="137" t="s">
        <v>488</v>
      </c>
      <c r="B180" s="788"/>
      <c r="C180" s="788"/>
      <c r="D180" s="788"/>
      <c r="E180" s="788"/>
      <c r="F180" s="191">
        <f>Year2!J165</f>
        <v>0</v>
      </c>
      <c r="G180" s="191">
        <f>Year2!N165</f>
        <v>1022.04</v>
      </c>
      <c r="H180" s="191">
        <f>Year2!Q165</f>
        <v>0</v>
      </c>
      <c r="I180" s="191">
        <f>Year2!R165</f>
        <v>1022.04</v>
      </c>
      <c r="J180" s="785"/>
    </row>
    <row r="181" spans="1:10">
      <c r="A181" s="764" t="s">
        <v>50</v>
      </c>
      <c r="F181" s="783" t="s">
        <v>7</v>
      </c>
      <c r="G181" s="783" t="s">
        <v>7</v>
      </c>
      <c r="H181" s="783" t="s">
        <v>7</v>
      </c>
      <c r="I181" s="783" t="s">
        <v>7</v>
      </c>
    </row>
    <row r="182" spans="1:10">
      <c r="B182" s="764" t="s">
        <v>52</v>
      </c>
      <c r="F182" s="783">
        <f>Year2!J167</f>
        <v>78.2</v>
      </c>
      <c r="G182" s="783">
        <f>Year2!N167</f>
        <v>0</v>
      </c>
      <c r="H182" s="783">
        <f>Year2!Q167</f>
        <v>50.849538461538472</v>
      </c>
      <c r="I182" s="783">
        <f>Year2!R167</f>
        <v>129.04953846153848</v>
      </c>
      <c r="J182" s="784"/>
    </row>
    <row r="183" spans="1:10">
      <c r="B183" s="764" t="s">
        <v>53</v>
      </c>
      <c r="F183" s="783">
        <f>Year2!J168</f>
        <v>0</v>
      </c>
      <c r="G183" s="783">
        <f>Year2!N168</f>
        <v>70</v>
      </c>
      <c r="H183" s="783">
        <f>Year2!Q168</f>
        <v>0</v>
      </c>
      <c r="I183" s="783">
        <f>Year2!R168</f>
        <v>70</v>
      </c>
      <c r="J183" s="785"/>
    </row>
    <row r="184" spans="1:10">
      <c r="A184" s="137" t="s">
        <v>54</v>
      </c>
      <c r="B184" s="788"/>
      <c r="C184" s="788"/>
      <c r="D184" s="788"/>
      <c r="E184" s="788"/>
      <c r="F184" s="191">
        <f>Year2!J169</f>
        <v>78.2</v>
      </c>
      <c r="G184" s="191">
        <f>Year2!N169</f>
        <v>70</v>
      </c>
      <c r="H184" s="191">
        <f>Year2!Q169</f>
        <v>50.849538461538472</v>
      </c>
      <c r="I184" s="191">
        <f>Year2!R169</f>
        <v>199.04953846153848</v>
      </c>
      <c r="J184" s="785"/>
    </row>
    <row r="186" spans="1:10">
      <c r="A186" s="137" t="s">
        <v>545</v>
      </c>
      <c r="B186" s="788"/>
      <c r="C186" s="788"/>
      <c r="D186" s="788"/>
      <c r="E186" s="788"/>
      <c r="F186" s="191">
        <f>Year2!J170</f>
        <v>3446.1434631529246</v>
      </c>
      <c r="G186" s="191">
        <f>Year2!N170</f>
        <v>10440.39231461989</v>
      </c>
      <c r="H186" s="191">
        <f>Year2!Q170</f>
        <v>13503.328886009365</v>
      </c>
      <c r="I186" s="191">
        <f>Year2!R170</f>
        <v>27389.86466378218</v>
      </c>
      <c r="J186" s="784"/>
    </row>
    <row r="188" spans="1:10" ht="13.5" thickBot="1">
      <c r="A188" s="797"/>
      <c r="B188" s="797"/>
      <c r="C188" s="797"/>
      <c r="D188" s="797"/>
      <c r="E188" s="797"/>
      <c r="F188" s="797"/>
      <c r="G188" s="797"/>
      <c r="H188" s="797"/>
      <c r="I188" s="797"/>
      <c r="J188" s="797"/>
    </row>
    <row r="189" spans="1:10" ht="13.5" thickTop="1">
      <c r="A189" s="764" t="s">
        <v>499</v>
      </c>
    </row>
    <row r="190" spans="1:10">
      <c r="B190" s="764" t="s">
        <v>345</v>
      </c>
      <c r="D190" s="764" t="s">
        <v>666</v>
      </c>
      <c r="G190" s="798">
        <f>HOAssumptions!G42</f>
        <v>3.5</v>
      </c>
      <c r="H190" s="764" t="s">
        <v>667</v>
      </c>
    </row>
    <row r="191" spans="1:10">
      <c r="D191" s="792" t="s">
        <v>668</v>
      </c>
      <c r="G191" s="798">
        <f>HOAssumptions!G43</f>
        <v>0.5</v>
      </c>
      <c r="H191" s="764" t="s">
        <v>667</v>
      </c>
    </row>
    <row r="192" spans="1:10">
      <c r="D192" s="764" t="s">
        <v>669</v>
      </c>
      <c r="G192" s="798">
        <f>HOAssumptions!G45</f>
        <v>7.5</v>
      </c>
      <c r="H192" s="764" t="s">
        <v>670</v>
      </c>
    </row>
    <row r="193" spans="2:8">
      <c r="E193" s="764" t="s">
        <v>672</v>
      </c>
    </row>
    <row r="194" spans="2:8">
      <c r="D194" s="764" t="s">
        <v>671</v>
      </c>
      <c r="G194" s="798">
        <f>HOAssumptions!G44</f>
        <v>0.25</v>
      </c>
      <c r="H194" s="764" t="s">
        <v>667</v>
      </c>
    </row>
    <row r="196" spans="2:8">
      <c r="B196" s="764" t="s">
        <v>500</v>
      </c>
      <c r="E196" s="764" t="s">
        <v>501</v>
      </c>
    </row>
    <row r="197" spans="2:8">
      <c r="B197" s="764" t="s">
        <v>380</v>
      </c>
      <c r="E197" s="764" t="s">
        <v>502</v>
      </c>
    </row>
    <row r="198" spans="2:8">
      <c r="B198" s="764" t="s">
        <v>560</v>
      </c>
      <c r="E198" s="764" t="s">
        <v>561</v>
      </c>
    </row>
  </sheetData>
  <sheetProtection password="A5F1" sheet="1" objects="1" scenarios="1"/>
  <mergeCells count="5">
    <mergeCell ref="A1:J1"/>
    <mergeCell ref="F5:I5"/>
    <mergeCell ref="F58:I58"/>
    <mergeCell ref="F113:I113"/>
    <mergeCell ref="F168:I168"/>
  </mergeCells>
  <pageMargins left="1" right="0" top="0.75" bottom="0.75" header="0.3" footer="0.3"/>
  <pageSetup orientation="portrait"/>
</worksheet>
</file>

<file path=xl/worksheets/sheet6.xml><?xml version="1.0" encoding="utf-8"?>
<worksheet xmlns="http://schemas.openxmlformats.org/spreadsheetml/2006/main" xmlns:r="http://schemas.openxmlformats.org/officeDocument/2006/relationships">
  <sheetPr enableFormatConditionsCalculation="0">
    <tabColor rgb="FF7030A0"/>
  </sheetPr>
  <dimension ref="A1:J195"/>
  <sheetViews>
    <sheetView topLeftCell="A143" zoomScale="125" zoomScaleNormal="125" workbookViewId="0">
      <selection activeCell="G57" sqref="G57"/>
    </sheetView>
  </sheetViews>
  <sheetFormatPr defaultColWidth="8.85546875" defaultRowHeight="12.75"/>
  <cols>
    <col min="1" max="5" width="8.85546875" style="764"/>
    <col min="6" max="7" width="9.28515625" style="764" bestFit="1" customWidth="1"/>
    <col min="8" max="9" width="9.85546875" style="764" bestFit="1" customWidth="1"/>
    <col min="10" max="16384" width="8.85546875" style="764"/>
  </cols>
  <sheetData>
    <row r="1" spans="1:10">
      <c r="A1" s="1610" t="s">
        <v>496</v>
      </c>
      <c r="B1" s="1610"/>
      <c r="C1" s="1610"/>
      <c r="D1" s="1610"/>
      <c r="E1" s="1610"/>
      <c r="F1" s="1610"/>
      <c r="G1" s="1610"/>
      <c r="H1" s="1610"/>
      <c r="I1" s="1610"/>
      <c r="J1" s="1610"/>
    </row>
    <row r="2" spans="1:10" ht="13.5" thickBot="1">
      <c r="A2" s="779" t="s">
        <v>7</v>
      </c>
      <c r="C2" s="779" t="s">
        <v>602</v>
      </c>
      <c r="E2" s="780">
        <f>Yields!G16</f>
        <v>15200</v>
      </c>
      <c r="F2" s="779" t="s">
        <v>601</v>
      </c>
      <c r="G2" s="780">
        <f>Yields!G18</f>
        <v>2533.3333333333335</v>
      </c>
      <c r="H2" s="779" t="s">
        <v>600</v>
      </c>
      <c r="I2" s="779"/>
      <c r="J2" s="779"/>
    </row>
    <row r="3" spans="1:10">
      <c r="B3" s="781"/>
      <c r="D3" s="781"/>
      <c r="F3" s="94" t="s">
        <v>144</v>
      </c>
      <c r="G3" s="94" t="s">
        <v>145</v>
      </c>
      <c r="H3" s="94" t="s">
        <v>146</v>
      </c>
      <c r="I3" s="94" t="s">
        <v>147</v>
      </c>
      <c r="J3" s="94" t="s">
        <v>483</v>
      </c>
    </row>
    <row r="4" spans="1:10" ht="13.5" thickBot="1">
      <c r="A4" s="134" t="s">
        <v>8</v>
      </c>
      <c r="B4" s="134" t="s">
        <v>484</v>
      </c>
      <c r="C4" s="134"/>
      <c r="D4" s="134"/>
      <c r="E4" s="134"/>
      <c r="F4" s="782" t="s">
        <v>249</v>
      </c>
      <c r="G4" s="782" t="s">
        <v>249</v>
      </c>
      <c r="H4" s="782" t="s">
        <v>249</v>
      </c>
      <c r="I4" s="782" t="s">
        <v>249</v>
      </c>
      <c r="J4" s="782" t="s">
        <v>249</v>
      </c>
    </row>
    <row r="5" spans="1:10">
      <c r="A5" s="764" t="s">
        <v>79</v>
      </c>
      <c r="F5" s="1617" t="s">
        <v>729</v>
      </c>
      <c r="G5" s="1617"/>
      <c r="H5" s="1617"/>
      <c r="I5" s="1617"/>
    </row>
    <row r="6" spans="1:10">
      <c r="B6" s="764" t="s">
        <v>491</v>
      </c>
      <c r="F6" s="783">
        <f>Year3!J7</f>
        <v>0</v>
      </c>
      <c r="G6" s="783">
        <f>Year3!N7</f>
        <v>6</v>
      </c>
      <c r="H6" s="783">
        <f>Year3!Q7</f>
        <v>0</v>
      </c>
      <c r="I6" s="783">
        <f>Year3!R7</f>
        <v>6</v>
      </c>
      <c r="J6" s="784"/>
    </row>
    <row r="7" spans="1:10">
      <c r="B7" s="764" t="s">
        <v>104</v>
      </c>
      <c r="F7" s="783">
        <f>Year3!J8</f>
        <v>10.399999999999999</v>
      </c>
      <c r="G7" s="783">
        <f>Year3!N8</f>
        <v>0</v>
      </c>
      <c r="H7" s="783">
        <f>Year3!Q8</f>
        <v>305.0972307692308</v>
      </c>
      <c r="I7" s="783">
        <f>Year3!R8</f>
        <v>315.49723076923078</v>
      </c>
      <c r="J7" s="785"/>
    </row>
    <row r="8" spans="1:10">
      <c r="B8" s="764" t="s">
        <v>271</v>
      </c>
      <c r="E8" s="764" t="s">
        <v>7</v>
      </c>
      <c r="F8" s="783">
        <f>Year3!J9</f>
        <v>0</v>
      </c>
      <c r="G8" s="783">
        <f>Year3!N9</f>
        <v>0</v>
      </c>
      <c r="H8" s="783">
        <f>Year3!Q9</f>
        <v>31.443969230769234</v>
      </c>
      <c r="I8" s="783">
        <f>Year3!R9</f>
        <v>31.443969230769234</v>
      </c>
      <c r="J8" s="785"/>
    </row>
    <row r="9" spans="1:10">
      <c r="B9" s="764" t="s">
        <v>308</v>
      </c>
      <c r="C9" s="764" t="s">
        <v>604</v>
      </c>
      <c r="D9" s="786">
        <f>Yields!G5</f>
        <v>0.8</v>
      </c>
      <c r="E9" s="764" t="s">
        <v>7</v>
      </c>
      <c r="F9" s="783">
        <f>Year3!J10</f>
        <v>0</v>
      </c>
      <c r="G9" s="783">
        <f>Year3!N10</f>
        <v>0</v>
      </c>
      <c r="H9" s="783">
        <f>Year3!Q10</f>
        <v>0</v>
      </c>
      <c r="I9" s="783">
        <f>Year3!R10</f>
        <v>0</v>
      </c>
    </row>
    <row r="10" spans="1:10">
      <c r="C10" s="764" t="s">
        <v>497</v>
      </c>
      <c r="F10" s="783">
        <f>Year3!J11</f>
        <v>0</v>
      </c>
      <c r="G10" s="783">
        <f>Year3!N11</f>
        <v>3496</v>
      </c>
      <c r="H10" s="783">
        <f>Year3!Q11</f>
        <v>0</v>
      </c>
      <c r="I10" s="783">
        <f>Year3!R11</f>
        <v>3496</v>
      </c>
      <c r="J10" s="784"/>
    </row>
    <row r="11" spans="1:10">
      <c r="C11" s="764" t="s">
        <v>344</v>
      </c>
      <c r="F11" s="783">
        <f>Year3!J12</f>
        <v>0</v>
      </c>
      <c r="G11" s="783">
        <f>Year3!N12</f>
        <v>4433.3333333333339</v>
      </c>
      <c r="H11" s="783">
        <f>Year3!Q12</f>
        <v>0</v>
      </c>
      <c r="I11" s="783">
        <f>Year3!R12</f>
        <v>4433.3333333333339</v>
      </c>
      <c r="J11" s="785"/>
    </row>
    <row r="12" spans="1:10">
      <c r="B12" s="764" t="s">
        <v>336</v>
      </c>
      <c r="C12" s="764" t="s">
        <v>586</v>
      </c>
      <c r="D12" s="786">
        <f>Yields!G6</f>
        <v>0.19999999999999996</v>
      </c>
      <c r="E12" s="764" t="s">
        <v>7</v>
      </c>
      <c r="F12" s="783">
        <f>Year3!J13</f>
        <v>0</v>
      </c>
      <c r="G12" s="783">
        <f>Year3!N13</f>
        <v>0</v>
      </c>
      <c r="H12" s="783">
        <f>Year3!Q13</f>
        <v>0</v>
      </c>
      <c r="I12" s="783">
        <f>Year3!R13</f>
        <v>0</v>
      </c>
      <c r="J12" s="787"/>
    </row>
    <row r="13" spans="1:10">
      <c r="C13" s="764" t="s">
        <v>313</v>
      </c>
      <c r="F13" s="783">
        <f>Year3!J14</f>
        <v>0</v>
      </c>
      <c r="G13" s="783">
        <f>Year3!N14</f>
        <v>337.5</v>
      </c>
      <c r="H13" s="783">
        <f>Year3!Q14</f>
        <v>0</v>
      </c>
      <c r="I13" s="783">
        <f>Year3!R14</f>
        <v>337.5</v>
      </c>
      <c r="J13" s="784"/>
    </row>
    <row r="14" spans="1:10">
      <c r="A14" s="137" t="s">
        <v>80</v>
      </c>
      <c r="B14" s="788"/>
      <c r="C14" s="788"/>
      <c r="D14" s="788"/>
      <c r="E14" s="788"/>
      <c r="F14" s="191">
        <f>Year3!J15</f>
        <v>10.399999999999999</v>
      </c>
      <c r="G14" s="191">
        <f>Year3!N15</f>
        <v>8272.8333333333339</v>
      </c>
      <c r="H14" s="191">
        <f>Year3!Q15</f>
        <v>336.54120000000006</v>
      </c>
      <c r="I14" s="191">
        <f>Year3!R15</f>
        <v>8619.7745333333332</v>
      </c>
      <c r="J14" s="785"/>
    </row>
    <row r="15" spans="1:10">
      <c r="A15" s="764" t="s">
        <v>69</v>
      </c>
      <c r="F15" s="783" t="s">
        <v>7</v>
      </c>
      <c r="G15" s="783" t="s">
        <v>7</v>
      </c>
      <c r="H15" s="783" t="s">
        <v>7</v>
      </c>
      <c r="I15" s="783" t="s">
        <v>7</v>
      </c>
    </row>
    <row r="16" spans="1:10">
      <c r="B16" s="764" t="s">
        <v>491</v>
      </c>
      <c r="F16" s="783">
        <f>Year3!J17</f>
        <v>0</v>
      </c>
      <c r="G16" s="783">
        <f>Year3!N17</f>
        <v>6</v>
      </c>
      <c r="H16" s="783">
        <f>Year3!Q17</f>
        <v>0</v>
      </c>
      <c r="I16" s="783">
        <f>Year3!R17</f>
        <v>6</v>
      </c>
      <c r="J16" s="784"/>
    </row>
    <row r="17" spans="1:10">
      <c r="B17" s="764" t="s">
        <v>81</v>
      </c>
      <c r="F17" s="783">
        <f>Year3!J18</f>
        <v>0</v>
      </c>
      <c r="G17" s="783">
        <f>Year3!N18</f>
        <v>25</v>
      </c>
      <c r="H17" s="783">
        <f>Year3!Q18</f>
        <v>40.679630769230776</v>
      </c>
      <c r="I17" s="783">
        <f>Year3!R18</f>
        <v>65.679630769230783</v>
      </c>
      <c r="J17" s="785"/>
    </row>
    <row r="18" spans="1:10">
      <c r="B18" s="764" t="s">
        <v>395</v>
      </c>
      <c r="F18" s="783">
        <f>Year3!J19</f>
        <v>7.3630149734160009</v>
      </c>
      <c r="G18" s="783">
        <f>Year3!N19</f>
        <v>0</v>
      </c>
      <c r="H18" s="783">
        <f>Year3!Q19</f>
        <v>4.2408515076923079</v>
      </c>
      <c r="I18" s="783">
        <f>Year3!R19</f>
        <v>11.603866481108309</v>
      </c>
      <c r="J18" s="785"/>
    </row>
    <row r="19" spans="1:10">
      <c r="C19" s="764" t="s">
        <v>557</v>
      </c>
      <c r="F19" s="783">
        <f>Year3!J20</f>
        <v>0</v>
      </c>
      <c r="G19" s="783">
        <f>Year3!N20</f>
        <v>100</v>
      </c>
      <c r="H19" s="783">
        <f>Year3!Q20</f>
        <v>0</v>
      </c>
      <c r="I19" s="783">
        <f>Year3!R20</f>
        <v>100</v>
      </c>
      <c r="J19" s="785"/>
    </row>
    <row r="20" spans="1:10">
      <c r="B20" s="764" t="s">
        <v>104</v>
      </c>
      <c r="F20" s="783">
        <f>Year3!J21</f>
        <v>5.1999999999999993</v>
      </c>
      <c r="G20" s="783">
        <f>Year3!N21</f>
        <v>0</v>
      </c>
      <c r="H20" s="783">
        <f>Year3!Q21</f>
        <v>152.5486153846154</v>
      </c>
      <c r="I20" s="783">
        <f>Year3!R21</f>
        <v>157.74861538461539</v>
      </c>
      <c r="J20" s="785"/>
    </row>
    <row r="21" spans="1:10">
      <c r="A21" s="137" t="s">
        <v>74</v>
      </c>
      <c r="B21" s="788"/>
      <c r="C21" s="788"/>
      <c r="D21" s="788"/>
      <c r="E21" s="788"/>
      <c r="F21" s="191">
        <f>Year3!J22</f>
        <v>12.563014973415999</v>
      </c>
      <c r="G21" s="191">
        <f>Year3!N22</f>
        <v>131</v>
      </c>
      <c r="H21" s="191">
        <f>Year3!Q22</f>
        <v>197.46909766153848</v>
      </c>
      <c r="I21" s="191">
        <f>Year3!R22</f>
        <v>341.0321126349545</v>
      </c>
      <c r="J21" s="785"/>
    </row>
    <row r="22" spans="1:10">
      <c r="A22" s="764" t="s">
        <v>84</v>
      </c>
      <c r="F22" s="783" t="s">
        <v>7</v>
      </c>
      <c r="G22" s="783" t="s">
        <v>7</v>
      </c>
      <c r="H22" s="783" t="s">
        <v>7</v>
      </c>
      <c r="I22" s="783" t="s">
        <v>7</v>
      </c>
    </row>
    <row r="23" spans="1:10">
      <c r="B23" s="764" t="s">
        <v>491</v>
      </c>
      <c r="F23" s="783">
        <f>Year3!J24</f>
        <v>0</v>
      </c>
      <c r="G23" s="783">
        <f>Year3!N24</f>
        <v>6</v>
      </c>
      <c r="H23" s="783">
        <f>Year3!Q24</f>
        <v>0</v>
      </c>
      <c r="I23" s="783">
        <f>Year3!R24</f>
        <v>6</v>
      </c>
      <c r="J23" s="784"/>
    </row>
    <row r="24" spans="1:10">
      <c r="B24" s="764" t="s">
        <v>315</v>
      </c>
      <c r="F24" s="783">
        <f>Year3!J25</f>
        <v>7.3630149734160009</v>
      </c>
      <c r="G24" s="783">
        <f>Year3!N25</f>
        <v>0</v>
      </c>
      <c r="H24" s="783">
        <f>Year3!Q25</f>
        <v>4.2408515076923079</v>
      </c>
      <c r="I24" s="783">
        <f>Year3!R25</f>
        <v>11.603866481108309</v>
      </c>
      <c r="J24" s="785"/>
    </row>
    <row r="25" spans="1:10">
      <c r="C25" s="764" t="s">
        <v>295</v>
      </c>
      <c r="F25" s="783">
        <f>Year3!J26</f>
        <v>0</v>
      </c>
      <c r="G25" s="783">
        <f>Year3!N26</f>
        <v>3.1158486549726607</v>
      </c>
      <c r="H25" s="783">
        <f>Year3!Q26</f>
        <v>0</v>
      </c>
      <c r="I25" s="783">
        <f>Year3!R26</f>
        <v>3.1158486549726607</v>
      </c>
      <c r="J25" s="785"/>
    </row>
    <row r="26" spans="1:10">
      <c r="B26" s="764" t="s">
        <v>318</v>
      </c>
      <c r="F26" s="783">
        <f>Year3!J27</f>
        <v>7.3630149734160009</v>
      </c>
      <c r="G26" s="783">
        <f>Year3!N27</f>
        <v>0</v>
      </c>
      <c r="H26" s="783">
        <f>Year3!Q27</f>
        <v>4.2408515076923079</v>
      </c>
      <c r="I26" s="783">
        <f>Year3!R27</f>
        <v>11.603866481108309</v>
      </c>
      <c r="J26" s="785"/>
    </row>
    <row r="27" spans="1:10">
      <c r="C27" s="764" t="s">
        <v>295</v>
      </c>
      <c r="F27" s="783">
        <f>Year3!J28</f>
        <v>0</v>
      </c>
      <c r="G27" s="783">
        <f>Year3!N28</f>
        <v>3.1158486549726607</v>
      </c>
      <c r="H27" s="783">
        <f>Year3!Q28</f>
        <v>0</v>
      </c>
      <c r="I27" s="783">
        <f>Year3!R28</f>
        <v>3.1158486549726607</v>
      </c>
      <c r="J27" s="785"/>
    </row>
    <row r="28" spans="1:10">
      <c r="C28" s="764" t="s">
        <v>113</v>
      </c>
      <c r="F28" s="783">
        <f>Year3!J29</f>
        <v>0</v>
      </c>
      <c r="G28" s="783">
        <f>Year3!N29</f>
        <v>16</v>
      </c>
      <c r="H28" s="783">
        <f>Year3!Q29</f>
        <v>0</v>
      </c>
      <c r="I28" s="783">
        <f>Year3!R29</f>
        <v>16</v>
      </c>
      <c r="J28" s="785"/>
    </row>
    <row r="29" spans="1:10">
      <c r="C29" s="764" t="s">
        <v>137</v>
      </c>
      <c r="F29" s="783">
        <f>Year3!J30</f>
        <v>0</v>
      </c>
      <c r="G29" s="783">
        <f>Year3!N30</f>
        <v>15</v>
      </c>
      <c r="H29" s="783">
        <f>Year3!Q30</f>
        <v>0</v>
      </c>
      <c r="I29" s="783">
        <f>Year3!R30</f>
        <v>15</v>
      </c>
      <c r="J29" s="785"/>
    </row>
    <row r="30" spans="1:10">
      <c r="B30" s="764" t="s">
        <v>124</v>
      </c>
      <c r="F30" s="783">
        <f>Year3!J31</f>
        <v>0.99145182060000014</v>
      </c>
      <c r="G30" s="783">
        <f>Year3!N31</f>
        <v>0</v>
      </c>
      <c r="H30" s="783">
        <f>Year3!Q31</f>
        <v>84.749230769230778</v>
      </c>
      <c r="I30" s="783">
        <f>Year3!R31</f>
        <v>85.740682589830783</v>
      </c>
      <c r="J30" s="785"/>
    </row>
    <row r="31" spans="1:10">
      <c r="B31" s="789" t="s">
        <v>581</v>
      </c>
      <c r="F31" s="783">
        <f>Year3!J32</f>
        <v>49.451183679999993</v>
      </c>
      <c r="G31" s="783">
        <f>Year3!N32</f>
        <v>0</v>
      </c>
      <c r="H31" s="783">
        <f>Year3!Q32</f>
        <v>4.2374615384615391</v>
      </c>
      <c r="I31" s="783">
        <f>Year3!R32</f>
        <v>53.688645218461531</v>
      </c>
      <c r="J31" s="785"/>
    </row>
    <row r="32" spans="1:10">
      <c r="C32" s="764" t="s">
        <v>394</v>
      </c>
      <c r="F32" s="783">
        <f>Year3!J33</f>
        <v>0</v>
      </c>
      <c r="G32" s="783">
        <f>Year3!N33</f>
        <v>1.2549200000000003</v>
      </c>
      <c r="H32" s="783">
        <f>Year3!Q33</f>
        <v>0</v>
      </c>
      <c r="I32" s="783">
        <f>Year3!R33</f>
        <v>1.2549200000000003</v>
      </c>
      <c r="J32" s="785"/>
    </row>
    <row r="33" spans="1:10">
      <c r="B33" s="764" t="s">
        <v>392</v>
      </c>
      <c r="F33" s="783">
        <f>Year3!J34</f>
        <v>7.3630149734160009</v>
      </c>
      <c r="G33" s="783">
        <f>Year3!N34</f>
        <v>0</v>
      </c>
      <c r="H33" s="783">
        <f>Year3!Q34</f>
        <v>4.2408515076923079</v>
      </c>
      <c r="I33" s="783">
        <f>Year3!R34</f>
        <v>11.603866481108309</v>
      </c>
      <c r="J33" s="785"/>
    </row>
    <row r="34" spans="1:10">
      <c r="C34" s="764" t="s">
        <v>99</v>
      </c>
      <c r="F34" s="783">
        <f>Year3!J35</f>
        <v>0</v>
      </c>
      <c r="G34" s="783">
        <f>Year3!N35</f>
        <v>1.5840000000000001</v>
      </c>
      <c r="H34" s="783">
        <f>Year3!Q35</f>
        <v>0</v>
      </c>
      <c r="I34" s="783">
        <f>Year3!R35</f>
        <v>1.5840000000000001</v>
      </c>
      <c r="J34" s="785"/>
    </row>
    <row r="35" spans="1:10">
      <c r="B35" s="764" t="s">
        <v>32</v>
      </c>
      <c r="F35" s="783">
        <f>Year3!J36</f>
        <v>5.873084638191</v>
      </c>
      <c r="G35" s="783">
        <f>Year3!N36</f>
        <v>0</v>
      </c>
      <c r="H35" s="783">
        <f>Year3!Q36</f>
        <v>4.2408515076923079</v>
      </c>
      <c r="I35" s="783">
        <f>Year3!R36</f>
        <v>10.113936145883308</v>
      </c>
      <c r="J35" s="785"/>
    </row>
    <row r="36" spans="1:10">
      <c r="C36" s="764" t="s">
        <v>125</v>
      </c>
      <c r="F36" s="783">
        <f>Year3!J37</f>
        <v>0</v>
      </c>
      <c r="G36" s="783">
        <f>Year3!N37</f>
        <v>3.52</v>
      </c>
      <c r="H36" s="783">
        <f>Year3!Q37</f>
        <v>0</v>
      </c>
      <c r="I36" s="783">
        <f>Year3!R37</f>
        <v>3.52</v>
      </c>
      <c r="J36" s="785"/>
    </row>
    <row r="37" spans="1:10">
      <c r="B37" s="764" t="s">
        <v>32</v>
      </c>
      <c r="F37" s="783">
        <f>Year3!J38</f>
        <v>5.873084638191</v>
      </c>
      <c r="G37" s="783">
        <f>Year3!N38</f>
        <v>0</v>
      </c>
      <c r="H37" s="783">
        <f>Year3!Q38</f>
        <v>4.2408515076923079</v>
      </c>
      <c r="I37" s="783">
        <f>Year3!R38</f>
        <v>10.113936145883308</v>
      </c>
      <c r="J37" s="785"/>
    </row>
    <row r="38" spans="1:10">
      <c r="C38" s="764" t="s">
        <v>290</v>
      </c>
      <c r="F38" s="783">
        <f>Year3!J39</f>
        <v>0</v>
      </c>
      <c r="G38" s="783">
        <f>Year3!N39</f>
        <v>92</v>
      </c>
      <c r="H38" s="783">
        <f>Year3!Q39</f>
        <v>0</v>
      </c>
      <c r="I38" s="783">
        <f>Year3!R39</f>
        <v>92</v>
      </c>
      <c r="J38" s="785"/>
    </row>
    <row r="39" spans="1:10">
      <c r="A39" s="137" t="s">
        <v>93</v>
      </c>
      <c r="B39" s="788"/>
      <c r="C39" s="788"/>
      <c r="D39" s="788"/>
      <c r="E39" s="788"/>
      <c r="F39" s="191">
        <f>Year3!J40</f>
        <v>84.277849697229996</v>
      </c>
      <c r="G39" s="191">
        <f>Year3!N40</f>
        <v>141.59061730994532</v>
      </c>
      <c r="H39" s="191">
        <f>Year3!Q40</f>
        <v>110.19094984615387</v>
      </c>
      <c r="I39" s="191">
        <f>Year3!R40</f>
        <v>336.0594168533292</v>
      </c>
      <c r="J39" s="785"/>
    </row>
    <row r="40" spans="1:10">
      <c r="A40" s="764" t="s">
        <v>57</v>
      </c>
      <c r="F40" s="783" t="s">
        <v>7</v>
      </c>
      <c r="G40" s="783" t="s">
        <v>7</v>
      </c>
      <c r="H40" s="783" t="s">
        <v>7</v>
      </c>
      <c r="I40" s="783" t="s">
        <v>7</v>
      </c>
    </row>
    <row r="41" spans="1:10">
      <c r="B41" s="764" t="s">
        <v>491</v>
      </c>
      <c r="F41" s="783">
        <f>Year3!J42</f>
        <v>0</v>
      </c>
      <c r="G41" s="783">
        <f>Year3!N42</f>
        <v>6</v>
      </c>
      <c r="H41" s="783">
        <f>Year3!Q42</f>
        <v>0</v>
      </c>
      <c r="I41" s="783">
        <f>Year3!R42</f>
        <v>6</v>
      </c>
      <c r="J41" s="784"/>
    </row>
    <row r="42" spans="1:10">
      <c r="B42" s="764" t="s">
        <v>316</v>
      </c>
      <c r="F42" s="783">
        <f>Year3!J43</f>
        <v>7.3630149734160009</v>
      </c>
      <c r="G42" s="783">
        <f>Year3!N43</f>
        <v>0</v>
      </c>
      <c r="H42" s="783">
        <f>Year3!Q43</f>
        <v>4.2408515076923079</v>
      </c>
      <c r="I42" s="783">
        <f>Year3!R43</f>
        <v>11.603866481108309</v>
      </c>
      <c r="J42" s="785"/>
    </row>
    <row r="43" spans="1:10">
      <c r="C43" s="764" t="s">
        <v>294</v>
      </c>
      <c r="F43" s="783">
        <f>Year3!J44</f>
        <v>0</v>
      </c>
      <c r="G43" s="783">
        <f>Year3!N44</f>
        <v>70</v>
      </c>
      <c r="H43" s="783">
        <f>Year3!Q44</f>
        <v>0</v>
      </c>
      <c r="I43" s="783">
        <f>Year3!R44</f>
        <v>70</v>
      </c>
      <c r="J43" s="785"/>
    </row>
    <row r="44" spans="1:10">
      <c r="B44" s="764" t="s">
        <v>316</v>
      </c>
      <c r="F44" s="783">
        <f>Year3!J45</f>
        <v>7.3630149734160009</v>
      </c>
      <c r="G44" s="783">
        <f>Year3!N45</f>
        <v>0</v>
      </c>
      <c r="H44" s="783">
        <f>Year3!Q45</f>
        <v>4.2408515076923079</v>
      </c>
      <c r="I44" s="783">
        <f>Year3!R45</f>
        <v>11.603866481108309</v>
      </c>
      <c r="J44" s="785"/>
    </row>
    <row r="45" spans="1:10">
      <c r="C45" s="764" t="s">
        <v>113</v>
      </c>
      <c r="F45" s="783">
        <f>Year3!J46</f>
        <v>0</v>
      </c>
      <c r="G45" s="783">
        <f>Year3!N46</f>
        <v>16</v>
      </c>
      <c r="H45" s="783">
        <f>Year3!Q46</f>
        <v>0</v>
      </c>
      <c r="I45" s="783">
        <f>Year3!R46</f>
        <v>16</v>
      </c>
      <c r="J45" s="785"/>
    </row>
    <row r="46" spans="1:10">
      <c r="C46" s="764" t="s">
        <v>137</v>
      </c>
      <c r="F46" s="783">
        <f>Year3!J47</f>
        <v>0</v>
      </c>
      <c r="G46" s="783">
        <f>Year3!N47</f>
        <v>15</v>
      </c>
      <c r="H46" s="783">
        <f>Year3!Q47</f>
        <v>0</v>
      </c>
      <c r="I46" s="783">
        <f>Year3!R47</f>
        <v>15</v>
      </c>
      <c r="J46" s="785"/>
    </row>
    <row r="47" spans="1:10">
      <c r="B47" s="789" t="s">
        <v>581</v>
      </c>
      <c r="F47" s="783">
        <f>Year3!J48</f>
        <v>49.451183679999993</v>
      </c>
      <c r="G47" s="783">
        <f>Year3!N48</f>
        <v>0</v>
      </c>
      <c r="H47" s="783">
        <f>Year3!Q48</f>
        <v>4.2374615384615391</v>
      </c>
      <c r="I47" s="783">
        <f>Year3!R48</f>
        <v>53.688645218461531</v>
      </c>
      <c r="J47" s="785"/>
    </row>
    <row r="48" spans="1:10">
      <c r="C48" s="764" t="s">
        <v>391</v>
      </c>
      <c r="F48" s="783">
        <f>Year3!J49</f>
        <v>0</v>
      </c>
      <c r="G48" s="783">
        <f>Year3!N49</f>
        <v>38.5</v>
      </c>
      <c r="H48" s="783">
        <f>Year3!Q49</f>
        <v>0</v>
      </c>
      <c r="I48" s="783">
        <f>Year3!R49</f>
        <v>38.5</v>
      </c>
      <c r="J48" s="785"/>
    </row>
    <row r="49" spans="1:10">
      <c r="B49" s="764" t="s">
        <v>128</v>
      </c>
      <c r="F49" s="783">
        <f>Year3!J50</f>
        <v>0</v>
      </c>
      <c r="G49" s="783">
        <f>Year3!N50</f>
        <v>0</v>
      </c>
      <c r="H49" s="783">
        <f>Year3!Q50</f>
        <v>16.949846153846156</v>
      </c>
      <c r="I49" s="783">
        <f>Year3!R50</f>
        <v>16.949846153846156</v>
      </c>
      <c r="J49" s="785"/>
    </row>
    <row r="50" spans="1:10">
      <c r="B50" s="764" t="s">
        <v>129</v>
      </c>
      <c r="F50" s="783">
        <f>Year3!J51</f>
        <v>0</v>
      </c>
      <c r="G50" s="783">
        <f>Year3!N51</f>
        <v>150</v>
      </c>
      <c r="H50" s="783">
        <f>Year3!Q51</f>
        <v>0</v>
      </c>
      <c r="I50" s="783">
        <f>Year3!R51</f>
        <v>150</v>
      </c>
      <c r="J50" s="785"/>
    </row>
    <row r="51" spans="1:10">
      <c r="A51" s="137" t="s">
        <v>58</v>
      </c>
      <c r="B51" s="788"/>
      <c r="C51" s="788"/>
      <c r="D51" s="788"/>
      <c r="E51" s="788"/>
      <c r="F51" s="191">
        <f>Year3!J52</f>
        <v>64.177213626832</v>
      </c>
      <c r="G51" s="191">
        <f>Year3!N52</f>
        <v>295.5</v>
      </c>
      <c r="H51" s="191">
        <f>Year3!Q52</f>
        <v>29.669010707692312</v>
      </c>
      <c r="I51" s="191">
        <f>Year3!R52</f>
        <v>389.34622433452432</v>
      </c>
      <c r="J51" s="785"/>
    </row>
    <row r="52" spans="1:10">
      <c r="A52" s="764" t="s">
        <v>28</v>
      </c>
      <c r="F52" s="783" t="s">
        <v>7</v>
      </c>
      <c r="G52" s="783" t="s">
        <v>7</v>
      </c>
      <c r="H52" s="783" t="s">
        <v>7</v>
      </c>
      <c r="I52" s="783" t="s">
        <v>7</v>
      </c>
    </row>
    <row r="53" spans="1:10">
      <c r="B53" s="764" t="s">
        <v>491</v>
      </c>
      <c r="F53" s="783">
        <f>Year3!J54</f>
        <v>0</v>
      </c>
      <c r="G53" s="783">
        <f>Year3!N54</f>
        <v>6</v>
      </c>
      <c r="H53" s="783">
        <f>Year3!Q54</f>
        <v>0</v>
      </c>
      <c r="I53" s="783">
        <f>Year3!R54</f>
        <v>6</v>
      </c>
      <c r="J53" s="784"/>
    </row>
    <row r="54" spans="1:10">
      <c r="B54" s="764" t="s">
        <v>73</v>
      </c>
      <c r="F54" s="783">
        <f>Year3!J55</f>
        <v>7.3918178328888899</v>
      </c>
      <c r="G54" s="783">
        <f>Year3!N55</f>
        <v>0</v>
      </c>
      <c r="H54" s="783">
        <f>Year3!Q55</f>
        <v>4.95</v>
      </c>
      <c r="I54" s="783">
        <f>Year3!R55</f>
        <v>12.341817832888889</v>
      </c>
      <c r="J54" s="785"/>
    </row>
    <row r="55" spans="1:10" ht="13.5" thickBot="1">
      <c r="F55" s="783"/>
      <c r="G55" s="783"/>
      <c r="H55" s="783"/>
      <c r="I55" s="783"/>
      <c r="J55" s="790"/>
    </row>
    <row r="56" spans="1:10">
      <c r="A56" s="781"/>
      <c r="B56" s="781"/>
      <c r="C56" s="781"/>
      <c r="D56" s="781"/>
      <c r="E56" s="781"/>
      <c r="F56" s="791" t="s">
        <v>144</v>
      </c>
      <c r="G56" s="791" t="s">
        <v>145</v>
      </c>
      <c r="H56" s="791" t="s">
        <v>146</v>
      </c>
      <c r="I56" s="791" t="s">
        <v>147</v>
      </c>
      <c r="J56" s="791" t="s">
        <v>483</v>
      </c>
    </row>
    <row r="57" spans="1:10" ht="13.5" thickBot="1">
      <c r="A57" s="134" t="s">
        <v>8</v>
      </c>
      <c r="B57" s="134" t="s">
        <v>484</v>
      </c>
      <c r="C57" s="134"/>
      <c r="D57" s="134"/>
      <c r="E57" s="134"/>
      <c r="F57" s="782" t="s">
        <v>249</v>
      </c>
      <c r="G57" s="782" t="s">
        <v>249</v>
      </c>
      <c r="H57" s="782" t="s">
        <v>249</v>
      </c>
      <c r="I57" s="782" t="s">
        <v>249</v>
      </c>
      <c r="J57" s="782" t="s">
        <v>249</v>
      </c>
    </row>
    <row r="58" spans="1:10">
      <c r="A58" s="764" t="s">
        <v>565</v>
      </c>
      <c r="F58" s="1617" t="s">
        <v>729</v>
      </c>
      <c r="G58" s="1617"/>
      <c r="H58" s="1617"/>
      <c r="I58" s="1617"/>
      <c r="J58" s="787"/>
    </row>
    <row r="59" spans="1:10">
      <c r="B59" s="764" t="s">
        <v>91</v>
      </c>
      <c r="F59" s="783">
        <f>Year3!J56</f>
        <v>49.451183679999993</v>
      </c>
      <c r="G59" s="783">
        <f>Year3!N56</f>
        <v>0</v>
      </c>
      <c r="H59" s="783">
        <f>Year3!Q56</f>
        <v>4.2374615384615391</v>
      </c>
      <c r="I59" s="783">
        <f>Year3!R56</f>
        <v>53.688645218461531</v>
      </c>
      <c r="J59" s="784"/>
    </row>
    <row r="60" spans="1:10">
      <c r="C60" s="764" t="s">
        <v>391</v>
      </c>
      <c r="F60" s="783">
        <f>Year3!J57</f>
        <v>0</v>
      </c>
      <c r="G60" s="783">
        <f>Year3!N57</f>
        <v>44</v>
      </c>
      <c r="H60" s="783">
        <f>Year3!Q57</f>
        <v>0</v>
      </c>
      <c r="I60" s="783">
        <f>Year3!R57</f>
        <v>44</v>
      </c>
      <c r="J60" s="785"/>
    </row>
    <row r="61" spans="1:10">
      <c r="B61" s="764" t="s">
        <v>318</v>
      </c>
      <c r="F61" s="783">
        <f>Year3!J58</f>
        <v>7.3630149734160009</v>
      </c>
      <c r="G61" s="783">
        <f>Year3!N58</f>
        <v>0</v>
      </c>
      <c r="H61" s="783">
        <f>Year3!Q58</f>
        <v>4.2408515076923079</v>
      </c>
      <c r="I61" s="783">
        <f>Year3!R58</f>
        <v>11.603866481108309</v>
      </c>
      <c r="J61" s="785"/>
    </row>
    <row r="62" spans="1:10">
      <c r="C62" s="764" t="s">
        <v>301</v>
      </c>
      <c r="F62" s="783">
        <f>Year3!J59</f>
        <v>0</v>
      </c>
      <c r="G62" s="783">
        <f>Year3!N59</f>
        <v>3.1158486549726607</v>
      </c>
      <c r="H62" s="783">
        <f>Year3!Q59</f>
        <v>0</v>
      </c>
      <c r="I62" s="783">
        <f>Year3!R59</f>
        <v>3.1158486549726607</v>
      </c>
      <c r="J62" s="785"/>
    </row>
    <row r="63" spans="1:10">
      <c r="C63" s="764" t="s">
        <v>133</v>
      </c>
      <c r="F63" s="783">
        <f>Year3!J60</f>
        <v>0</v>
      </c>
      <c r="G63" s="783">
        <f>Year3!N60</f>
        <v>60</v>
      </c>
      <c r="H63" s="783">
        <f>Year3!Q60</f>
        <v>0</v>
      </c>
      <c r="I63" s="783">
        <f>Year3!R60</f>
        <v>60</v>
      </c>
      <c r="J63" s="785"/>
    </row>
    <row r="64" spans="1:10">
      <c r="B64" s="764" t="s">
        <v>316</v>
      </c>
      <c r="F64" s="783">
        <f>Year3!J61</f>
        <v>7.3630149734160009</v>
      </c>
      <c r="G64" s="783">
        <f>Year3!N61</f>
        <v>0</v>
      </c>
      <c r="H64" s="783">
        <f>Year3!Q61</f>
        <v>4.2408515076923079</v>
      </c>
      <c r="I64" s="783">
        <f>Year3!R61</f>
        <v>11.603866481108309</v>
      </c>
      <c r="J64" s="785"/>
    </row>
    <row r="65" spans="1:10">
      <c r="C65" s="764" t="s">
        <v>126</v>
      </c>
      <c r="F65" s="783">
        <f>Year3!J62</f>
        <v>0</v>
      </c>
      <c r="G65" s="783">
        <f>Year3!N62</f>
        <v>16</v>
      </c>
      <c r="H65" s="783">
        <f>Year3!Q62</f>
        <v>0</v>
      </c>
      <c r="I65" s="783">
        <f>Year3!R62</f>
        <v>16</v>
      </c>
      <c r="J65" s="785"/>
    </row>
    <row r="66" spans="1:10">
      <c r="C66" s="764" t="s">
        <v>137</v>
      </c>
      <c r="F66" s="783">
        <f>Year3!J63</f>
        <v>0</v>
      </c>
      <c r="G66" s="783">
        <f>Year3!N63</f>
        <v>15</v>
      </c>
      <c r="H66" s="783">
        <f>Year3!Q63</f>
        <v>0</v>
      </c>
      <c r="I66" s="783">
        <f>Year3!R63</f>
        <v>15</v>
      </c>
      <c r="J66" s="785"/>
    </row>
    <row r="67" spans="1:10">
      <c r="B67" s="764" t="s">
        <v>317</v>
      </c>
      <c r="F67" s="783">
        <f>Year3!J64</f>
        <v>7.3630149734160009</v>
      </c>
      <c r="G67" s="783">
        <f>Year3!N64</f>
        <v>0</v>
      </c>
      <c r="H67" s="783">
        <f>Year3!Q64</f>
        <v>4.2408515076923079</v>
      </c>
      <c r="I67" s="783">
        <f>Year3!R64</f>
        <v>11.603866481108309</v>
      </c>
      <c r="J67" s="785"/>
    </row>
    <row r="68" spans="1:10">
      <c r="C68" s="764" t="s">
        <v>293</v>
      </c>
      <c r="F68" s="783">
        <f>Year3!J65</f>
        <v>0</v>
      </c>
      <c r="G68" s="783">
        <f>Year3!N65</f>
        <v>64</v>
      </c>
      <c r="H68" s="783">
        <f>Year3!Q65</f>
        <v>0</v>
      </c>
      <c r="I68" s="783">
        <f>Year3!R65</f>
        <v>64</v>
      </c>
      <c r="J68" s="785"/>
    </row>
    <row r="69" spans="1:10">
      <c r="B69" s="764" t="s">
        <v>316</v>
      </c>
      <c r="F69" s="783">
        <f>Year3!J66</f>
        <v>7.3630149734160009</v>
      </c>
      <c r="G69" s="783">
        <f>Year3!N66</f>
        <v>0</v>
      </c>
      <c r="H69" s="783">
        <f>Year3!Q66</f>
        <v>4.2408515076923079</v>
      </c>
      <c r="I69" s="783">
        <f>Year3!R66</f>
        <v>11.603866481108309</v>
      </c>
      <c r="J69" s="785"/>
    </row>
    <row r="70" spans="1:10">
      <c r="C70" s="764" t="s">
        <v>294</v>
      </c>
      <c r="F70" s="783">
        <f>Year3!J67</f>
        <v>0</v>
      </c>
      <c r="G70" s="783">
        <f>Year3!N67</f>
        <v>70</v>
      </c>
      <c r="H70" s="783">
        <f>Year3!Q67</f>
        <v>0</v>
      </c>
      <c r="I70" s="783">
        <f>Year3!R67</f>
        <v>70</v>
      </c>
      <c r="J70" s="785"/>
    </row>
    <row r="71" spans="1:10">
      <c r="B71" s="764" t="s">
        <v>558</v>
      </c>
      <c r="F71" s="783">
        <f>Year3!J68</f>
        <v>0</v>
      </c>
      <c r="G71" s="783">
        <f>Year3!N68</f>
        <v>0</v>
      </c>
      <c r="H71" s="783">
        <f>Year3!Q68</f>
        <v>4.2374615384615391</v>
      </c>
      <c r="I71" s="783">
        <f>Year3!R68</f>
        <v>4.2374615384615391</v>
      </c>
      <c r="J71" s="785"/>
    </row>
    <row r="72" spans="1:10">
      <c r="B72" s="764" t="s">
        <v>571</v>
      </c>
      <c r="F72" s="783">
        <f>Year3!J69</f>
        <v>494.51183679999991</v>
      </c>
      <c r="G72" s="783">
        <f>Year3!N69</f>
        <v>0</v>
      </c>
      <c r="H72" s="783">
        <f>Year3!Q69</f>
        <v>42.374615384615389</v>
      </c>
      <c r="I72" s="783">
        <f>Year3!R69</f>
        <v>536.88645218461534</v>
      </c>
      <c r="J72" s="785"/>
    </row>
    <row r="73" spans="1:10">
      <c r="B73" s="764" t="s">
        <v>136</v>
      </c>
      <c r="F73" s="783">
        <f>Year3!J70</f>
        <v>0</v>
      </c>
      <c r="G73" s="783">
        <f>Year3!N70</f>
        <v>150</v>
      </c>
      <c r="H73" s="783">
        <f>Year3!Q70</f>
        <v>0</v>
      </c>
      <c r="I73" s="783">
        <f>Year3!R70</f>
        <v>150</v>
      </c>
      <c r="J73" s="785"/>
    </row>
    <row r="74" spans="1:10">
      <c r="A74" s="137" t="s">
        <v>29</v>
      </c>
      <c r="B74" s="788"/>
      <c r="C74" s="788"/>
      <c r="D74" s="788"/>
      <c r="E74" s="788"/>
      <c r="F74" s="191">
        <f>Year3!J71</f>
        <v>580.80689820655277</v>
      </c>
      <c r="G74" s="191">
        <f>Year3!N71</f>
        <v>428.11584865497264</v>
      </c>
      <c r="H74" s="191">
        <f>Year3!Q71</f>
        <v>72.762944492307696</v>
      </c>
      <c r="I74" s="191">
        <f>Year3!R71</f>
        <v>1081.6856913538331</v>
      </c>
      <c r="J74" s="785"/>
    </row>
    <row r="75" spans="1:10">
      <c r="A75" s="764" t="s">
        <v>105</v>
      </c>
      <c r="F75" s="783" t="s">
        <v>7</v>
      </c>
      <c r="G75" s="783" t="s">
        <v>7</v>
      </c>
      <c r="H75" s="783" t="s">
        <v>7</v>
      </c>
      <c r="I75" s="783" t="s">
        <v>7</v>
      </c>
    </row>
    <row r="76" spans="1:10">
      <c r="B76" s="764" t="s">
        <v>491</v>
      </c>
      <c r="F76" s="783">
        <f>Year3!J73</f>
        <v>0</v>
      </c>
      <c r="G76" s="783">
        <f>Year3!N73</f>
        <v>6</v>
      </c>
      <c r="H76" s="783">
        <f>Year3!Q73</f>
        <v>0</v>
      </c>
      <c r="I76" s="783">
        <f>Year3!R73</f>
        <v>6</v>
      </c>
      <c r="J76" s="784"/>
    </row>
    <row r="77" spans="1:10">
      <c r="B77" s="764" t="s">
        <v>100</v>
      </c>
      <c r="F77" s="783">
        <f>Year3!J74</f>
        <v>7.3918178328888899</v>
      </c>
      <c r="G77" s="783">
        <f>Year3!N74</f>
        <v>0</v>
      </c>
      <c r="H77" s="783">
        <f>Year3!Q74</f>
        <v>4.95</v>
      </c>
      <c r="I77" s="783">
        <f>Year3!R74</f>
        <v>12.341817832888889</v>
      </c>
      <c r="J77" s="785"/>
    </row>
    <row r="78" spans="1:10">
      <c r="B78" s="764" t="s">
        <v>558</v>
      </c>
      <c r="F78" s="783">
        <f>Year3!J75</f>
        <v>0</v>
      </c>
      <c r="G78" s="783">
        <f>Year3!N75</f>
        <v>0</v>
      </c>
      <c r="H78" s="783">
        <f>Year3!Q75</f>
        <v>4.2374615384615391</v>
      </c>
      <c r="I78" s="783">
        <f>Year3!R75</f>
        <v>4.2374615384615391</v>
      </c>
      <c r="J78" s="785"/>
    </row>
    <row r="79" spans="1:10">
      <c r="B79" s="764" t="s">
        <v>136</v>
      </c>
      <c r="F79" s="783">
        <f>Year3!J76</f>
        <v>0</v>
      </c>
      <c r="G79" s="783">
        <f>Year3!N76</f>
        <v>150</v>
      </c>
      <c r="H79" s="783">
        <f>Year3!Q76</f>
        <v>0</v>
      </c>
      <c r="I79" s="783">
        <f>Year3!R76</f>
        <v>150</v>
      </c>
      <c r="J79" s="785"/>
    </row>
    <row r="80" spans="1:10">
      <c r="B80" s="764" t="s">
        <v>316</v>
      </c>
      <c r="F80" s="783">
        <f>Year3!J77</f>
        <v>7.3630149734160009</v>
      </c>
      <c r="G80" s="783">
        <f>Year3!N77</f>
        <v>0</v>
      </c>
      <c r="H80" s="783">
        <f>Year3!Q77</f>
        <v>4.2408515076923079</v>
      </c>
      <c r="I80" s="783">
        <f>Year3!R77</f>
        <v>11.603866481108309</v>
      </c>
      <c r="J80" s="785"/>
    </row>
    <row r="81" spans="2:10">
      <c r="C81" s="764" t="s">
        <v>133</v>
      </c>
      <c r="F81" s="783">
        <f>Year3!J78</f>
        <v>0</v>
      </c>
      <c r="G81" s="783">
        <f>Year3!N78</f>
        <v>60</v>
      </c>
      <c r="H81" s="783">
        <f>Year3!Q78</f>
        <v>0</v>
      </c>
      <c r="I81" s="783">
        <f>Year3!R78</f>
        <v>60</v>
      </c>
      <c r="J81" s="785"/>
    </row>
    <row r="82" spans="2:10">
      <c r="B82" s="764" t="s">
        <v>316</v>
      </c>
      <c r="F82" s="783">
        <f>Year3!J79</f>
        <v>7.3630149734160009</v>
      </c>
      <c r="G82" s="783">
        <f>Year3!N79</f>
        <v>0</v>
      </c>
      <c r="H82" s="783">
        <f>Year3!Q79</f>
        <v>4.2408515076923079</v>
      </c>
      <c r="I82" s="783">
        <f>Year3!R79</f>
        <v>11.603866481108309</v>
      </c>
      <c r="J82" s="785"/>
    </row>
    <row r="83" spans="2:10">
      <c r="C83" s="764" t="s">
        <v>294</v>
      </c>
      <c r="F83" s="783">
        <f>Year3!J80</f>
        <v>0</v>
      </c>
      <c r="G83" s="783">
        <f>Year3!N80</f>
        <v>70</v>
      </c>
      <c r="H83" s="783">
        <f>Year3!Q80</f>
        <v>0</v>
      </c>
      <c r="I83" s="783">
        <f>Year3!R80</f>
        <v>70</v>
      </c>
      <c r="J83" s="785"/>
    </row>
    <row r="84" spans="2:10">
      <c r="B84" s="764" t="s">
        <v>318</v>
      </c>
      <c r="F84" s="783">
        <f>Year3!J81</f>
        <v>7.3630149734160009</v>
      </c>
      <c r="G84" s="783">
        <f>Year3!N81</f>
        <v>0</v>
      </c>
      <c r="H84" s="783">
        <f>Year3!Q81</f>
        <v>4.2408515076923079</v>
      </c>
      <c r="I84" s="783">
        <f>Year3!R81</f>
        <v>11.603866481108309</v>
      </c>
      <c r="J84" s="785"/>
    </row>
    <row r="85" spans="2:10">
      <c r="C85" s="764" t="s">
        <v>137</v>
      </c>
      <c r="F85" s="783">
        <f>Year3!J82</f>
        <v>0</v>
      </c>
      <c r="G85" s="783">
        <f>Year3!N82</f>
        <v>15</v>
      </c>
      <c r="H85" s="783">
        <f>Year3!Q82</f>
        <v>0</v>
      </c>
      <c r="I85" s="783">
        <f>Year3!R82</f>
        <v>15</v>
      </c>
      <c r="J85" s="785"/>
    </row>
    <row r="86" spans="2:10">
      <c r="C86" s="764" t="s">
        <v>299</v>
      </c>
      <c r="F86" s="783">
        <f>Year3!J83</f>
        <v>0</v>
      </c>
      <c r="G86" s="783">
        <f>Year3!N83</f>
        <v>27.96</v>
      </c>
      <c r="H86" s="783">
        <f>Year3!Q83</f>
        <v>0</v>
      </c>
      <c r="I86" s="783">
        <f>Year3!R83</f>
        <v>27.96</v>
      </c>
      <c r="J86" s="785"/>
    </row>
    <row r="87" spans="2:10">
      <c r="B87" s="764" t="s">
        <v>572</v>
      </c>
      <c r="F87" s="783">
        <f>Year3!J84</f>
        <v>395.60946943999994</v>
      </c>
      <c r="G87" s="783">
        <f>Year3!N84</f>
        <v>0</v>
      </c>
      <c r="H87" s="783">
        <f>Year3!Q84</f>
        <v>33.899692307692312</v>
      </c>
      <c r="I87" s="783">
        <f>Year3!R84</f>
        <v>429.50916174769225</v>
      </c>
      <c r="J87" s="785"/>
    </row>
    <row r="88" spans="2:10">
      <c r="B88" s="764" t="s">
        <v>650</v>
      </c>
      <c r="F88" s="783">
        <f>Year3!J85</f>
        <v>0</v>
      </c>
      <c r="G88" s="783">
        <f>Year3!N85</f>
        <v>195.5</v>
      </c>
      <c r="H88" s="783">
        <f>Year3!Q85</f>
        <v>0</v>
      </c>
      <c r="I88" s="783">
        <f>Year3!R85</f>
        <v>195.5</v>
      </c>
      <c r="J88" s="790"/>
    </row>
    <row r="89" spans="2:10">
      <c r="B89" s="792" t="s">
        <v>345</v>
      </c>
      <c r="F89" s="783"/>
      <c r="G89" s="783"/>
      <c r="H89" s="783"/>
      <c r="I89" s="783"/>
      <c r="J89" s="790"/>
    </row>
    <row r="90" spans="2:10">
      <c r="C90" s="792" t="s">
        <v>498</v>
      </c>
      <c r="F90" s="783">
        <f>Year3!J86</f>
        <v>0</v>
      </c>
      <c r="G90" s="783">
        <f>Year3!N86</f>
        <v>0</v>
      </c>
      <c r="H90" s="783">
        <f>Year3!Q86</f>
        <v>2955.5555555555557</v>
      </c>
      <c r="I90" s="783">
        <f>Year3!R86</f>
        <v>2955.5555555555557</v>
      </c>
      <c r="J90" s="784"/>
    </row>
    <row r="91" spans="2:10">
      <c r="B91" s="792"/>
      <c r="C91" s="792" t="s">
        <v>864</v>
      </c>
      <c r="F91" s="783">
        <f>Year3!J87</f>
        <v>0</v>
      </c>
      <c r="G91" s="783">
        <f>Year3!N87</f>
        <v>0</v>
      </c>
      <c r="H91" s="783">
        <f>Year3!Q87</f>
        <v>422.22222222222223</v>
      </c>
      <c r="I91" s="783">
        <f>Year3!R87</f>
        <v>422.22222222222223</v>
      </c>
      <c r="J91" s="785"/>
    </row>
    <row r="92" spans="2:10">
      <c r="C92" s="764" t="s">
        <v>563</v>
      </c>
      <c r="F92" s="783">
        <f>Year3!J88</f>
        <v>29.154328298163101</v>
      </c>
      <c r="G92" s="783">
        <f>Year3!N88</f>
        <v>0</v>
      </c>
      <c r="H92" s="783">
        <f>Year3!Q88</f>
        <v>120.12</v>
      </c>
      <c r="I92" s="783">
        <f>Year3!R88</f>
        <v>149.27432829816311</v>
      </c>
      <c r="J92" s="785"/>
    </row>
    <row r="93" spans="2:10">
      <c r="C93" s="764" t="s">
        <v>865</v>
      </c>
      <c r="F93" s="783">
        <f>Year3!J89</f>
        <v>0</v>
      </c>
      <c r="G93" s="783">
        <f>Year3!N89</f>
        <v>0</v>
      </c>
      <c r="H93" s="783">
        <f>Year3!Q89</f>
        <v>211.11111111111111</v>
      </c>
      <c r="I93" s="783">
        <f>Year3!R89</f>
        <v>211.11111111111111</v>
      </c>
      <c r="J93" s="785"/>
    </row>
    <row r="94" spans="2:10">
      <c r="B94" s="764" t="s">
        <v>384</v>
      </c>
      <c r="E94" s="764" t="s">
        <v>7</v>
      </c>
      <c r="F94" s="783">
        <f>Year3!J90</f>
        <v>297.85875249999998</v>
      </c>
      <c r="G94" s="783">
        <f>Year3!N90</f>
        <v>0</v>
      </c>
      <c r="H94" s="783">
        <f>Year3!Q90</f>
        <v>0</v>
      </c>
      <c r="I94" s="783">
        <f>Year3!R90</f>
        <v>297.85875249999998</v>
      </c>
      <c r="J94" s="785"/>
    </row>
    <row r="95" spans="2:10">
      <c r="B95" s="764" t="s">
        <v>559</v>
      </c>
      <c r="E95" s="764" t="s">
        <v>7</v>
      </c>
      <c r="F95" s="783">
        <f>Year3!J91</f>
        <v>56.783511464968171</v>
      </c>
      <c r="G95" s="783">
        <f>Year3!N91</f>
        <v>0</v>
      </c>
      <c r="H95" s="783">
        <f>Year3!Q91</f>
        <v>0</v>
      </c>
      <c r="I95" s="783">
        <f>Year3!R91</f>
        <v>56.783511464968171</v>
      </c>
      <c r="J95" s="785"/>
    </row>
    <row r="96" spans="2:10">
      <c r="B96" s="764" t="s">
        <v>560</v>
      </c>
      <c r="E96" s="764" t="s">
        <v>7</v>
      </c>
      <c r="F96" s="783">
        <f>Year3!J92</f>
        <v>28.446334133333334</v>
      </c>
      <c r="G96" s="783">
        <f>Year3!N92</f>
        <v>0</v>
      </c>
      <c r="H96" s="783">
        <f>Year3!Q92</f>
        <v>13.559876923076924</v>
      </c>
      <c r="I96" s="783">
        <f>Year3!R92</f>
        <v>42.006211056410258</v>
      </c>
      <c r="J96" s="785"/>
    </row>
    <row r="97" spans="1:10">
      <c r="B97" s="764" t="s">
        <v>100</v>
      </c>
      <c r="F97" s="783">
        <f>Year3!J93</f>
        <v>7.3918178328888899</v>
      </c>
      <c r="G97" s="783">
        <f>Year3!N93</f>
        <v>0</v>
      </c>
      <c r="H97" s="783">
        <f>Year3!Q93</f>
        <v>4.95</v>
      </c>
      <c r="I97" s="783">
        <f>Year3!R93</f>
        <v>12.341817832888889</v>
      </c>
      <c r="J97" s="785"/>
    </row>
    <row r="98" spans="1:10">
      <c r="A98" s="137" t="s">
        <v>107</v>
      </c>
      <c r="B98" s="788"/>
      <c r="C98" s="788"/>
      <c r="D98" s="788"/>
      <c r="E98" s="788"/>
      <c r="F98" s="191">
        <f>Year3!J94</f>
        <v>844.72507642249025</v>
      </c>
      <c r="G98" s="191">
        <f>Year3!N94</f>
        <v>524.46</v>
      </c>
      <c r="H98" s="191">
        <f>Year3!Q94</f>
        <v>3783.3284741811967</v>
      </c>
      <c r="I98" s="191">
        <f>Year3!R94</f>
        <v>5152.5135506036877</v>
      </c>
      <c r="J98" s="787"/>
    </row>
    <row r="99" spans="1:10">
      <c r="A99" s="764" t="s">
        <v>108</v>
      </c>
      <c r="F99" s="783" t="s">
        <v>7</v>
      </c>
      <c r="G99" s="783" t="s">
        <v>7</v>
      </c>
      <c r="H99" s="783" t="s">
        <v>7</v>
      </c>
      <c r="I99" s="783" t="s">
        <v>7</v>
      </c>
    </row>
    <row r="100" spans="1:10">
      <c r="B100" s="764" t="s">
        <v>491</v>
      </c>
      <c r="F100" s="783">
        <f>Year3!J96</f>
        <v>0</v>
      </c>
      <c r="G100" s="783">
        <f>Year3!N96</f>
        <v>6</v>
      </c>
      <c r="H100" s="783">
        <f>Year3!Q96</f>
        <v>0</v>
      </c>
      <c r="I100" s="783">
        <f>Year3!R96</f>
        <v>6</v>
      </c>
      <c r="J100" s="784"/>
    </row>
    <row r="101" spans="1:10">
      <c r="B101" s="764" t="s">
        <v>571</v>
      </c>
      <c r="F101" s="783">
        <f>Year3!J97</f>
        <v>494.51183679999991</v>
      </c>
      <c r="G101" s="783">
        <f>Year3!N97</f>
        <v>0</v>
      </c>
      <c r="H101" s="783">
        <f>Year3!Q97</f>
        <v>42.374615384615389</v>
      </c>
      <c r="I101" s="783">
        <f>Year3!R97</f>
        <v>536.88645218461534</v>
      </c>
      <c r="J101" s="785"/>
    </row>
    <row r="102" spans="1:10">
      <c r="B102" s="764" t="s">
        <v>138</v>
      </c>
      <c r="F102" s="783">
        <f>Year3!J98</f>
        <v>0</v>
      </c>
      <c r="G102" s="783">
        <f>Year3!N98</f>
        <v>5</v>
      </c>
      <c r="H102" s="783">
        <f>Year3!Q98</f>
        <v>0</v>
      </c>
      <c r="I102" s="783">
        <f>Year3!R98</f>
        <v>5</v>
      </c>
      <c r="J102" s="785"/>
    </row>
    <row r="103" spans="1:10">
      <c r="B103" s="764" t="s">
        <v>139</v>
      </c>
      <c r="F103" s="783">
        <f>Year3!J99</f>
        <v>2.773333333333333</v>
      </c>
      <c r="G103" s="783">
        <f>Year3!N99</f>
        <v>0</v>
      </c>
      <c r="H103" s="783">
        <f>Year3!Q99</f>
        <v>67.799384615384625</v>
      </c>
      <c r="I103" s="783">
        <f>Year3!R99</f>
        <v>70.572717948717951</v>
      </c>
      <c r="J103" s="785"/>
    </row>
    <row r="104" spans="1:10">
      <c r="B104" s="764" t="s">
        <v>100</v>
      </c>
      <c r="F104" s="783">
        <f>Year3!J100</f>
        <v>7.3918178328888899</v>
      </c>
      <c r="G104" s="783">
        <f>Year3!N100</f>
        <v>0</v>
      </c>
      <c r="H104" s="783">
        <f>Year3!Q100</f>
        <v>5.084953846153847</v>
      </c>
      <c r="I104" s="783">
        <f>Year3!R100</f>
        <v>12.476771679042738</v>
      </c>
      <c r="J104" s="785"/>
    </row>
    <row r="105" spans="1:10">
      <c r="B105" s="764" t="s">
        <v>316</v>
      </c>
      <c r="F105" s="783">
        <f>Year3!J101</f>
        <v>7.3630149734160009</v>
      </c>
      <c r="G105" s="783">
        <f>Year3!N101</f>
        <v>0</v>
      </c>
      <c r="H105" s="783">
        <f>Year3!Q101</f>
        <v>4.2408515076923079</v>
      </c>
      <c r="I105" s="783">
        <f>Year3!R101</f>
        <v>11.603866481108309</v>
      </c>
      <c r="J105" s="785"/>
    </row>
    <row r="106" spans="1:10">
      <c r="C106" s="764" t="s">
        <v>292</v>
      </c>
      <c r="F106" s="783">
        <f>Year3!J102</f>
        <v>0</v>
      </c>
      <c r="G106" s="783">
        <f>Year3!N102</f>
        <v>20</v>
      </c>
      <c r="H106" s="783">
        <f>Year3!Q102</f>
        <v>0</v>
      </c>
      <c r="I106" s="783">
        <f>Year3!R102</f>
        <v>20</v>
      </c>
      <c r="J106" s="785"/>
    </row>
    <row r="107" spans="1:10">
      <c r="B107" s="764" t="s">
        <v>316</v>
      </c>
      <c r="F107" s="783">
        <f>Year3!J103</f>
        <v>7.3630149734160009</v>
      </c>
      <c r="G107" s="783">
        <f>Year3!N103</f>
        <v>0</v>
      </c>
      <c r="H107" s="783">
        <f>Year3!Q103</f>
        <v>4.2408515076923079</v>
      </c>
      <c r="I107" s="783">
        <f>Year3!R103</f>
        <v>11.603866481108309</v>
      </c>
      <c r="J107" s="785"/>
    </row>
    <row r="108" spans="1:10">
      <c r="C108" s="764" t="s">
        <v>294</v>
      </c>
      <c r="F108" s="783">
        <f>Year3!J104</f>
        <v>0</v>
      </c>
      <c r="G108" s="783">
        <f>Year3!N104</f>
        <v>70</v>
      </c>
      <c r="H108" s="783">
        <f>Year3!Q104</f>
        <v>0</v>
      </c>
      <c r="I108" s="783">
        <f>Year3!R104</f>
        <v>70</v>
      </c>
      <c r="J108" s="785"/>
    </row>
    <row r="109" spans="1:10">
      <c r="B109" s="764" t="s">
        <v>315</v>
      </c>
      <c r="F109" s="783">
        <f>Year3!J105</f>
        <v>7.3630149734160009</v>
      </c>
      <c r="G109" s="783">
        <f>Year3!N105</f>
        <v>0</v>
      </c>
      <c r="H109" s="783">
        <f>Year3!Q105</f>
        <v>4.2408515076923079</v>
      </c>
      <c r="I109" s="783">
        <f>Year3!R105</f>
        <v>11.603866481108309</v>
      </c>
      <c r="J109" s="784"/>
    </row>
    <row r="110" spans="1:10" ht="13.5" thickBot="1">
      <c r="C110" s="764" t="s">
        <v>295</v>
      </c>
      <c r="F110" s="783">
        <f>Year3!J106</f>
        <v>0</v>
      </c>
      <c r="G110" s="783">
        <f>Year3!N106</f>
        <v>3.1158486549726607</v>
      </c>
      <c r="H110" s="783">
        <f>Year3!Q106</f>
        <v>0</v>
      </c>
      <c r="I110" s="783">
        <f>Year3!R106</f>
        <v>3.1158486549726607</v>
      </c>
      <c r="J110" s="785"/>
    </row>
    <row r="111" spans="1:10">
      <c r="A111" s="781"/>
      <c r="B111" s="781"/>
      <c r="C111" s="781"/>
      <c r="D111" s="781"/>
      <c r="E111" s="781"/>
      <c r="F111" s="791" t="s">
        <v>144</v>
      </c>
      <c r="G111" s="791" t="s">
        <v>145</v>
      </c>
      <c r="H111" s="791" t="s">
        <v>146</v>
      </c>
      <c r="I111" s="791" t="s">
        <v>147</v>
      </c>
      <c r="J111" s="791" t="s">
        <v>483</v>
      </c>
    </row>
    <row r="112" spans="1:10" ht="13.5" thickBot="1">
      <c r="A112" s="134" t="s">
        <v>8</v>
      </c>
      <c r="B112" s="134" t="s">
        <v>484</v>
      </c>
      <c r="C112" s="134"/>
      <c r="D112" s="134"/>
      <c r="E112" s="134"/>
      <c r="F112" s="782" t="s">
        <v>249</v>
      </c>
      <c r="G112" s="782" t="s">
        <v>249</v>
      </c>
      <c r="H112" s="782" t="s">
        <v>249</v>
      </c>
      <c r="I112" s="782" t="s">
        <v>249</v>
      </c>
      <c r="J112" s="782" t="s">
        <v>249</v>
      </c>
    </row>
    <row r="113" spans="1:10">
      <c r="A113" s="764" t="s">
        <v>566</v>
      </c>
      <c r="F113" s="1617" t="s">
        <v>729</v>
      </c>
      <c r="G113" s="1617"/>
      <c r="H113" s="1617"/>
      <c r="I113" s="1617"/>
      <c r="J113" s="781"/>
    </row>
    <row r="114" spans="1:10">
      <c r="B114" s="764" t="s">
        <v>558</v>
      </c>
      <c r="F114" s="783">
        <f>Year3!J107</f>
        <v>0</v>
      </c>
      <c r="G114" s="783">
        <f>Year3!N107</f>
        <v>0</v>
      </c>
      <c r="H114" s="783">
        <f>Year3!Q107</f>
        <v>4.2374615384615391</v>
      </c>
      <c r="I114" s="783">
        <f>Year3!R107</f>
        <v>4.2374615384615391</v>
      </c>
      <c r="J114" s="784"/>
    </row>
    <row r="115" spans="1:10">
      <c r="B115" s="792" t="s">
        <v>345</v>
      </c>
      <c r="F115" s="783"/>
      <c r="G115" s="783"/>
      <c r="H115" s="783"/>
      <c r="I115" s="783"/>
      <c r="J115" s="784"/>
    </row>
    <row r="116" spans="1:10">
      <c r="C116" s="792" t="s">
        <v>498</v>
      </c>
      <c r="F116" s="783">
        <f>Year3!J108</f>
        <v>0</v>
      </c>
      <c r="G116" s="783">
        <f>Year3!N108</f>
        <v>0</v>
      </c>
      <c r="H116" s="783">
        <f>Year3!Q108</f>
        <v>2955.5555555555557</v>
      </c>
      <c r="I116" s="783">
        <f>Year3!R108</f>
        <v>2955.5555555555557</v>
      </c>
      <c r="J116" s="785"/>
    </row>
    <row r="117" spans="1:10">
      <c r="B117" s="792"/>
      <c r="C117" s="792" t="s">
        <v>864</v>
      </c>
      <c r="F117" s="783">
        <f>Year3!J109</f>
        <v>0</v>
      </c>
      <c r="G117" s="783">
        <f>Year3!N109</f>
        <v>0</v>
      </c>
      <c r="H117" s="783">
        <f>Year3!Q109</f>
        <v>422.22222222222223</v>
      </c>
      <c r="I117" s="783">
        <f>Year3!R109</f>
        <v>422.22222222222223</v>
      </c>
      <c r="J117" s="785"/>
    </row>
    <row r="118" spans="1:10">
      <c r="C118" s="764" t="s">
        <v>563</v>
      </c>
      <c r="F118" s="783">
        <f>Year3!J110</f>
        <v>29.154328298163101</v>
      </c>
      <c r="G118" s="783">
        <f>Year3!N110</f>
        <v>0</v>
      </c>
      <c r="H118" s="783">
        <f>Year3!Q110</f>
        <v>120.12</v>
      </c>
      <c r="I118" s="783">
        <f>Year3!R110</f>
        <v>149.27432829816311</v>
      </c>
      <c r="J118" s="785"/>
    </row>
    <row r="119" spans="1:10">
      <c r="C119" s="764" t="s">
        <v>865</v>
      </c>
      <c r="F119" s="783">
        <f>Year3!J111</f>
        <v>0</v>
      </c>
      <c r="G119" s="783">
        <f>Year3!N111</f>
        <v>0</v>
      </c>
      <c r="H119" s="783">
        <f>Year3!Q111</f>
        <v>211.11111111111111</v>
      </c>
      <c r="I119" s="783">
        <f>Year3!R111</f>
        <v>211.11111111111111</v>
      </c>
      <c r="J119" s="785"/>
    </row>
    <row r="120" spans="1:10">
      <c r="C120" s="764" t="s">
        <v>612</v>
      </c>
      <c r="F120" s="783">
        <f>Year3!J112</f>
        <v>0</v>
      </c>
      <c r="G120" s="783">
        <f>Year3!N112</f>
        <v>0</v>
      </c>
      <c r="H120" s="783">
        <f>Year3!Q112</f>
        <v>169.49846153846156</v>
      </c>
      <c r="I120" s="783">
        <f>Year3!R112</f>
        <v>169.49846153846156</v>
      </c>
      <c r="J120" s="785"/>
    </row>
    <row r="121" spans="1:10">
      <c r="B121" s="764" t="s">
        <v>866</v>
      </c>
      <c r="E121" s="764" t="s">
        <v>7</v>
      </c>
      <c r="F121" s="783">
        <f>Year3!J113</f>
        <v>307.7873775833333</v>
      </c>
      <c r="G121" s="783">
        <f>Year3!N113</f>
        <v>0</v>
      </c>
      <c r="H121" s="783">
        <f>Year3!Q113</f>
        <v>0</v>
      </c>
      <c r="I121" s="783">
        <f>Year3!R113</f>
        <v>307.7873775833333</v>
      </c>
      <c r="J121" s="785"/>
    </row>
    <row r="122" spans="1:10">
      <c r="B122" s="764" t="s">
        <v>559</v>
      </c>
      <c r="E122" s="764" t="s">
        <v>7</v>
      </c>
      <c r="F122" s="783">
        <f>Year3!J114</f>
        <v>58.967492675159249</v>
      </c>
      <c r="G122" s="783">
        <f>Year3!N114</f>
        <v>0</v>
      </c>
      <c r="H122" s="783">
        <f>Year3!Q114</f>
        <v>0</v>
      </c>
      <c r="I122" s="783">
        <f>Year3!R114</f>
        <v>58.967492675159249</v>
      </c>
      <c r="J122" s="785"/>
    </row>
    <row r="123" spans="1:10">
      <c r="B123" s="764" t="s">
        <v>560</v>
      </c>
      <c r="E123" s="764" t="s">
        <v>7</v>
      </c>
      <c r="F123" s="783">
        <f>Year3!J115</f>
        <v>28.446334133333334</v>
      </c>
      <c r="G123" s="783">
        <f>Year3!N115</f>
        <v>0</v>
      </c>
      <c r="H123" s="783">
        <f>Year3!Q115</f>
        <v>13.559876923076924</v>
      </c>
      <c r="I123" s="783">
        <f>Year3!R115</f>
        <v>42.006211056410258</v>
      </c>
      <c r="J123" s="785"/>
    </row>
    <row r="124" spans="1:10">
      <c r="A124" s="137" t="s">
        <v>109</v>
      </c>
      <c r="B124" s="788"/>
      <c r="C124" s="788"/>
      <c r="D124" s="788"/>
      <c r="E124" s="788"/>
      <c r="F124" s="191">
        <f>Year3!J116</f>
        <v>951.12156557645937</v>
      </c>
      <c r="G124" s="191">
        <f>Year3!N116</f>
        <v>104.11584865497267</v>
      </c>
      <c r="H124" s="191">
        <f>Year3!Q116</f>
        <v>4024.28619725812</v>
      </c>
      <c r="I124" s="191">
        <f>Year3!R116</f>
        <v>5079.5236114895524</v>
      </c>
      <c r="J124" s="785"/>
    </row>
    <row r="125" spans="1:10">
      <c r="A125" s="764" t="s">
        <v>110</v>
      </c>
      <c r="F125" s="783" t="s">
        <v>7</v>
      </c>
      <c r="G125" s="783" t="s">
        <v>7</v>
      </c>
      <c r="H125" s="783" t="s">
        <v>7</v>
      </c>
      <c r="I125" s="783" t="s">
        <v>7</v>
      </c>
    </row>
    <row r="126" spans="1:10">
      <c r="B126" s="764" t="s">
        <v>491</v>
      </c>
      <c r="F126" s="783">
        <f>Year3!J118</f>
        <v>0</v>
      </c>
      <c r="G126" s="783">
        <f>Year3!N118</f>
        <v>6</v>
      </c>
      <c r="H126" s="783">
        <f>Year3!Q118</f>
        <v>0</v>
      </c>
      <c r="I126" s="783">
        <f>Year3!R118</f>
        <v>6</v>
      </c>
      <c r="J126" s="784"/>
    </row>
    <row r="127" spans="1:10">
      <c r="B127" s="764" t="s">
        <v>100</v>
      </c>
      <c r="F127" s="783">
        <f>Year3!J119</f>
        <v>7.3918178328888899</v>
      </c>
      <c r="G127" s="783">
        <f>Year3!N119</f>
        <v>0</v>
      </c>
      <c r="H127" s="783">
        <f>Year3!Q119</f>
        <v>5.084953846153847</v>
      </c>
      <c r="I127" s="783">
        <f>Year3!R119</f>
        <v>12.476771679042738</v>
      </c>
      <c r="J127" s="785"/>
    </row>
    <row r="128" spans="1:10">
      <c r="B128" s="764" t="s">
        <v>572</v>
      </c>
      <c r="F128" s="783">
        <f>Year3!J120</f>
        <v>395.60946943999994</v>
      </c>
      <c r="G128" s="783">
        <f>Year3!N120</f>
        <v>0</v>
      </c>
      <c r="H128" s="783">
        <f>Year3!Q120</f>
        <v>33.899692307692312</v>
      </c>
      <c r="I128" s="783">
        <f>Year3!R120</f>
        <v>429.50916174769225</v>
      </c>
      <c r="J128" s="785"/>
    </row>
    <row r="129" spans="1:10">
      <c r="B129" s="792" t="s">
        <v>345</v>
      </c>
      <c r="F129" s="783"/>
      <c r="G129" s="783"/>
      <c r="H129" s="783"/>
      <c r="I129" s="783"/>
      <c r="J129" s="785"/>
    </row>
    <row r="130" spans="1:10">
      <c r="C130" s="792" t="s">
        <v>498</v>
      </c>
      <c r="F130" s="783">
        <f>Year3!J121</f>
        <v>0</v>
      </c>
      <c r="G130" s="783">
        <f>Year3!N121</f>
        <v>0</v>
      </c>
      <c r="H130" s="783">
        <f>Year3!Q121</f>
        <v>2955.5555555555557</v>
      </c>
      <c r="I130" s="783">
        <f>Year3!R121</f>
        <v>2955.5555555555557</v>
      </c>
      <c r="J130" s="785"/>
    </row>
    <row r="131" spans="1:10">
      <c r="B131" s="792"/>
      <c r="C131" s="792" t="s">
        <v>864</v>
      </c>
      <c r="F131" s="783">
        <f>Year3!J122</f>
        <v>0</v>
      </c>
      <c r="G131" s="783">
        <f>Year3!N122</f>
        <v>0</v>
      </c>
      <c r="H131" s="783">
        <f>Year3!Q122</f>
        <v>422.22222222222223</v>
      </c>
      <c r="I131" s="783">
        <f>Year3!R122</f>
        <v>422.22222222222223</v>
      </c>
      <c r="J131" s="785"/>
    </row>
    <row r="132" spans="1:10">
      <c r="C132" s="764" t="s">
        <v>563</v>
      </c>
      <c r="F132" s="783">
        <f>Year3!J123</f>
        <v>29.154328298163101</v>
      </c>
      <c r="G132" s="783">
        <f>Year3!N123</f>
        <v>0</v>
      </c>
      <c r="H132" s="783">
        <f>Year3!Q123</f>
        <v>120.12</v>
      </c>
      <c r="I132" s="783">
        <f>Year3!R123</f>
        <v>149.27432829816311</v>
      </c>
      <c r="J132" s="785"/>
    </row>
    <row r="133" spans="1:10">
      <c r="C133" s="764" t="s">
        <v>865</v>
      </c>
      <c r="F133" s="783">
        <f>Year3!J124</f>
        <v>0</v>
      </c>
      <c r="G133" s="783">
        <f>Year3!N124</f>
        <v>0</v>
      </c>
      <c r="H133" s="783">
        <f>Year3!Q124</f>
        <v>211.11111111111111</v>
      </c>
      <c r="I133" s="783">
        <f>Year3!R124</f>
        <v>211.11111111111111</v>
      </c>
      <c r="J133" s="785"/>
    </row>
    <row r="134" spans="1:10">
      <c r="C134" s="764" t="s">
        <v>612</v>
      </c>
      <c r="F134" s="783">
        <f>Year3!J125</f>
        <v>0</v>
      </c>
      <c r="G134" s="783">
        <f>Year3!N125</f>
        <v>0</v>
      </c>
      <c r="H134" s="783">
        <f>Year3!Q125</f>
        <v>169.49846153846156</v>
      </c>
      <c r="I134" s="783">
        <f>Year3!R125</f>
        <v>169.49846153846156</v>
      </c>
      <c r="J134" s="785"/>
    </row>
    <row r="135" spans="1:10">
      <c r="B135" s="764" t="s">
        <v>384</v>
      </c>
      <c r="E135" s="764" t="s">
        <v>7</v>
      </c>
      <c r="F135" s="783">
        <f>Year3!J126</f>
        <v>307.7873775833333</v>
      </c>
      <c r="G135" s="783">
        <f>Year3!N126</f>
        <v>0</v>
      </c>
      <c r="H135" s="783">
        <f>Year3!Q126</f>
        <v>0</v>
      </c>
      <c r="I135" s="783">
        <f>Year3!R126</f>
        <v>307.7873775833333</v>
      </c>
      <c r="J135" s="785"/>
    </row>
    <row r="136" spans="1:10">
      <c r="B136" s="764" t="s">
        <v>559</v>
      </c>
      <c r="E136" s="764" t="s">
        <v>7</v>
      </c>
      <c r="F136" s="783">
        <f>Year3!J127</f>
        <v>58.967492675159249</v>
      </c>
      <c r="G136" s="783">
        <f>Year3!N127</f>
        <v>0</v>
      </c>
      <c r="H136" s="783">
        <f>Year3!Q127</f>
        <v>0</v>
      </c>
      <c r="I136" s="783">
        <f>Year3!R127</f>
        <v>58.967492675159249</v>
      </c>
      <c r="J136" s="785"/>
    </row>
    <row r="137" spans="1:10">
      <c r="B137" s="764" t="s">
        <v>560</v>
      </c>
      <c r="E137" s="764" t="s">
        <v>7</v>
      </c>
      <c r="F137" s="783">
        <f>Year3!J128</f>
        <v>28.446334133333334</v>
      </c>
      <c r="G137" s="783">
        <f>Year3!N128</f>
        <v>0</v>
      </c>
      <c r="H137" s="783">
        <f>Year3!Q128</f>
        <v>13.559876923076924</v>
      </c>
      <c r="I137" s="783">
        <f>Year3!R128</f>
        <v>42.006211056410258</v>
      </c>
      <c r="J137" s="785"/>
    </row>
    <row r="138" spans="1:10">
      <c r="B138" s="789" t="s">
        <v>582</v>
      </c>
      <c r="D138" s="783">
        <f>Year3!O129</f>
        <v>50</v>
      </c>
      <c r="E138" s="793" t="s">
        <v>583</v>
      </c>
      <c r="F138" s="783">
        <f>Year3!J129</f>
        <v>10.399999999999999</v>
      </c>
      <c r="G138" s="783">
        <f>Year3!N129</f>
        <v>0</v>
      </c>
      <c r="H138" s="783">
        <f>Year3!Q129</f>
        <v>423.7461538461539</v>
      </c>
      <c r="I138" s="783">
        <f>Year3!R129</f>
        <v>434.14615384615388</v>
      </c>
      <c r="J138" s="785"/>
    </row>
    <row r="139" spans="1:10">
      <c r="B139" s="764" t="s">
        <v>579</v>
      </c>
      <c r="F139" s="783">
        <f>Year3!J130</f>
        <v>0</v>
      </c>
      <c r="G139" s="783">
        <f>Year3!N130</f>
        <v>100</v>
      </c>
      <c r="H139" s="783">
        <f>Year3!Q130</f>
        <v>0</v>
      </c>
      <c r="I139" s="783">
        <f>Year3!R130</f>
        <v>100</v>
      </c>
      <c r="J139" s="785"/>
    </row>
    <row r="140" spans="1:10">
      <c r="B140" s="789" t="s">
        <v>582</v>
      </c>
      <c r="D140" s="783">
        <f>Year3!O131</f>
        <v>50</v>
      </c>
      <c r="E140" s="793" t="s">
        <v>583</v>
      </c>
      <c r="F140" s="783">
        <f>Year3!J131</f>
        <v>5.1999999999999993</v>
      </c>
      <c r="G140" s="783">
        <f>Year3!N131</f>
        <v>0</v>
      </c>
      <c r="H140" s="783">
        <f>Year3!Q131</f>
        <v>423.7461538461539</v>
      </c>
      <c r="I140" s="783">
        <f>Year3!R131</f>
        <v>428.94615384615389</v>
      </c>
      <c r="J140" s="785"/>
    </row>
    <row r="141" spans="1:10">
      <c r="B141" s="764" t="s">
        <v>579</v>
      </c>
      <c r="F141" s="783">
        <f>Year3!J132</f>
        <v>0</v>
      </c>
      <c r="G141" s="783">
        <f>Year3!N132</f>
        <v>100</v>
      </c>
      <c r="H141" s="783">
        <f>Year3!Q132</f>
        <v>0</v>
      </c>
      <c r="I141" s="783">
        <f>Year3!R132</f>
        <v>100</v>
      </c>
      <c r="J141" s="785"/>
    </row>
    <row r="142" spans="1:10">
      <c r="A142" s="137" t="s">
        <v>111</v>
      </c>
      <c r="B142" s="788"/>
      <c r="C142" s="788"/>
      <c r="D142" s="788"/>
      <c r="E142" s="788"/>
      <c r="F142" s="191">
        <f>Year3!J133</f>
        <v>842.95681996287794</v>
      </c>
      <c r="G142" s="191">
        <f>Year3!N133</f>
        <v>206</v>
      </c>
      <c r="H142" s="191">
        <f>Year3!Q133</f>
        <v>4778.5441811965811</v>
      </c>
      <c r="I142" s="191">
        <f>Year3!R133</f>
        <v>5827.5010011594595</v>
      </c>
      <c r="J142" s="785"/>
    </row>
    <row r="143" spans="1:10">
      <c r="A143" s="764" t="s">
        <v>112</v>
      </c>
      <c r="F143" s="783" t="s">
        <v>7</v>
      </c>
      <c r="G143" s="783" t="s">
        <v>7</v>
      </c>
      <c r="H143" s="783" t="s">
        <v>7</v>
      </c>
      <c r="I143" s="783" t="s">
        <v>7</v>
      </c>
    </row>
    <row r="144" spans="1:10">
      <c r="B144" s="764" t="s">
        <v>491</v>
      </c>
      <c r="F144" s="783">
        <f>Year3!J135</f>
        <v>0</v>
      </c>
      <c r="G144" s="783">
        <f>Year3!N135</f>
        <v>6</v>
      </c>
      <c r="H144" s="783">
        <f>Year3!Q135</f>
        <v>0</v>
      </c>
      <c r="I144" s="783">
        <f>Year3!R135</f>
        <v>6</v>
      </c>
      <c r="J144" s="784"/>
    </row>
    <row r="145" spans="1:10">
      <c r="B145" s="789" t="s">
        <v>582</v>
      </c>
      <c r="D145" s="783">
        <f>Year3!O136</f>
        <v>50</v>
      </c>
      <c r="E145" s="793" t="s">
        <v>583</v>
      </c>
      <c r="F145" s="783">
        <f>Year3!J136</f>
        <v>5.2050000000000001</v>
      </c>
      <c r="G145" s="783">
        <f>Year3!N136</f>
        <v>0</v>
      </c>
      <c r="H145" s="783">
        <f>Year3!Q136</f>
        <v>423.7461538461539</v>
      </c>
      <c r="I145" s="783">
        <f>Year3!R136</f>
        <v>428.95115384615389</v>
      </c>
      <c r="J145" s="784"/>
    </row>
    <row r="146" spans="1:10">
      <c r="B146" s="764" t="s">
        <v>579</v>
      </c>
      <c r="F146" s="783">
        <f>Year3!J137</f>
        <v>0</v>
      </c>
      <c r="G146" s="783">
        <f>Year3!N137</f>
        <v>100</v>
      </c>
      <c r="H146" s="783">
        <f>Year3!Q137</f>
        <v>0</v>
      </c>
      <c r="I146" s="783">
        <f>Year3!R137</f>
        <v>100</v>
      </c>
      <c r="J146" s="784"/>
    </row>
    <row r="147" spans="1:10">
      <c r="B147" s="789" t="s">
        <v>582</v>
      </c>
      <c r="D147" s="783">
        <f>Year3!O138</f>
        <v>50</v>
      </c>
      <c r="E147" s="793" t="s">
        <v>583</v>
      </c>
      <c r="F147" s="783">
        <f>Year3!J138</f>
        <v>5.1999999999999993</v>
      </c>
      <c r="G147" s="783">
        <f>Year3!N138</f>
        <v>0</v>
      </c>
      <c r="H147" s="783">
        <f>Year3!Q138</f>
        <v>423.7461538461539</v>
      </c>
      <c r="I147" s="783">
        <f>Year3!R138</f>
        <v>428.94615384615389</v>
      </c>
      <c r="J147" s="784"/>
    </row>
    <row r="148" spans="1:10">
      <c r="B148" s="764" t="s">
        <v>579</v>
      </c>
      <c r="F148" s="783">
        <f>Year3!J139</f>
        <v>0</v>
      </c>
      <c r="G148" s="783">
        <f>Year3!N139</f>
        <v>100</v>
      </c>
      <c r="H148" s="783">
        <f>Year3!Q139</f>
        <v>0</v>
      </c>
      <c r="I148" s="783">
        <f>Year3!R139</f>
        <v>100</v>
      </c>
      <c r="J148" s="785"/>
    </row>
    <row r="149" spans="1:10">
      <c r="A149" s="137" t="s">
        <v>115</v>
      </c>
      <c r="B149" s="788"/>
      <c r="C149" s="788"/>
      <c r="D149" s="788"/>
      <c r="E149" s="788"/>
      <c r="F149" s="191">
        <f>Year3!J140</f>
        <v>10.404999999999999</v>
      </c>
      <c r="G149" s="191">
        <f>Year3!N140</f>
        <v>206</v>
      </c>
      <c r="H149" s="191">
        <f>Year3!Q140</f>
        <v>847.4923076923078</v>
      </c>
      <c r="I149" s="191">
        <f>Year3!R140</f>
        <v>963.89730769230778</v>
      </c>
      <c r="J149" s="785"/>
    </row>
    <row r="150" spans="1:10">
      <c r="A150" s="764" t="s">
        <v>27</v>
      </c>
      <c r="F150" s="783" t="s">
        <v>7</v>
      </c>
      <c r="G150" s="783" t="s">
        <v>7</v>
      </c>
      <c r="H150" s="783" t="s">
        <v>7</v>
      </c>
      <c r="I150" s="783" t="s">
        <v>7</v>
      </c>
    </row>
    <row r="151" spans="1:10">
      <c r="B151" s="764" t="s">
        <v>491</v>
      </c>
      <c r="F151" s="783">
        <f>Year3!J142</f>
        <v>0</v>
      </c>
      <c r="G151" s="783">
        <f>Year3!N142</f>
        <v>6</v>
      </c>
      <c r="H151" s="783">
        <f>Year3!Q142</f>
        <v>0</v>
      </c>
      <c r="I151" s="783">
        <f>Year3!R142</f>
        <v>6</v>
      </c>
      <c r="J151" s="784"/>
    </row>
    <row r="152" spans="1:10">
      <c r="A152" s="137" t="s">
        <v>37</v>
      </c>
      <c r="B152" s="788"/>
      <c r="C152" s="788"/>
      <c r="D152" s="788"/>
      <c r="E152" s="788"/>
      <c r="F152" s="191">
        <f>Year3!J143</f>
        <v>0</v>
      </c>
      <c r="G152" s="191">
        <f>Year3!N143</f>
        <v>6</v>
      </c>
      <c r="H152" s="191">
        <f>Year3!Q143</f>
        <v>0</v>
      </c>
      <c r="I152" s="191">
        <f>Year3!R143</f>
        <v>6</v>
      </c>
      <c r="J152" s="785"/>
    </row>
    <row r="153" spans="1:10">
      <c r="A153" s="764" t="s">
        <v>0</v>
      </c>
      <c r="F153" s="783" t="s">
        <v>7</v>
      </c>
      <c r="G153" s="783" t="s">
        <v>7</v>
      </c>
      <c r="H153" s="783" t="s">
        <v>7</v>
      </c>
      <c r="I153" s="783" t="s">
        <v>7</v>
      </c>
    </row>
    <row r="154" spans="1:10">
      <c r="B154" s="764" t="s">
        <v>491</v>
      </c>
      <c r="F154" s="783">
        <f>Year3!J145</f>
        <v>0</v>
      </c>
      <c r="G154" s="783">
        <f>Year3!N145</f>
        <v>6</v>
      </c>
      <c r="H154" s="783">
        <f>Year3!Q145</f>
        <v>0</v>
      </c>
      <c r="I154" s="783">
        <f>Year3!R145</f>
        <v>6</v>
      </c>
      <c r="J154" s="784"/>
    </row>
    <row r="155" spans="1:10">
      <c r="B155" s="764" t="s">
        <v>32</v>
      </c>
      <c r="F155" s="783">
        <f>Year3!J146</f>
        <v>5.873084638191</v>
      </c>
      <c r="G155" s="783">
        <f>Year3!N146</f>
        <v>0</v>
      </c>
      <c r="H155" s="783">
        <f>Year3!Q146</f>
        <v>4.2408515076923079</v>
      </c>
      <c r="I155" s="783">
        <f>Year3!R146</f>
        <v>10.113936145883308</v>
      </c>
      <c r="J155" s="785"/>
    </row>
    <row r="156" spans="1:10">
      <c r="C156" s="764" t="s">
        <v>125</v>
      </c>
      <c r="F156" s="783">
        <f>Year3!J147</f>
        <v>0</v>
      </c>
      <c r="G156" s="783">
        <f>Year3!N147</f>
        <v>3.52</v>
      </c>
      <c r="H156" s="783">
        <f>Year3!Q147</f>
        <v>0</v>
      </c>
      <c r="I156" s="783">
        <f>Year3!R147</f>
        <v>3.52</v>
      </c>
      <c r="J156" s="785"/>
    </row>
    <row r="157" spans="1:10">
      <c r="B157" s="764" t="s">
        <v>142</v>
      </c>
      <c r="F157" s="783">
        <f>Year3!J148</f>
        <v>0</v>
      </c>
      <c r="G157" s="783">
        <f>Year3!N148</f>
        <v>0</v>
      </c>
      <c r="H157" s="783">
        <f>Year3!Q148</f>
        <v>169.49846153846156</v>
      </c>
      <c r="I157" s="783">
        <f>Year3!R148</f>
        <v>169.49846153846156</v>
      </c>
      <c r="J157" s="785"/>
    </row>
    <row r="158" spans="1:10">
      <c r="A158" s="137" t="s">
        <v>1</v>
      </c>
      <c r="B158" s="788"/>
      <c r="C158" s="794"/>
      <c r="D158" s="788"/>
      <c r="E158" s="788"/>
      <c r="F158" s="191">
        <f>Year3!J149</f>
        <v>5.873084638191</v>
      </c>
      <c r="G158" s="191">
        <f>Year3!N149</f>
        <v>9.52</v>
      </c>
      <c r="H158" s="191">
        <f>Year3!Q149</f>
        <v>173.73931304615385</v>
      </c>
      <c r="I158" s="191">
        <f>Year3!R149</f>
        <v>189.13239768434485</v>
      </c>
      <c r="J158" s="785"/>
    </row>
    <row r="159" spans="1:10">
      <c r="A159" s="764" t="s">
        <v>3</v>
      </c>
      <c r="F159" s="783" t="s">
        <v>7</v>
      </c>
      <c r="G159" s="783" t="s">
        <v>7</v>
      </c>
      <c r="H159" s="783" t="s">
        <v>7</v>
      </c>
      <c r="I159" s="783" t="s">
        <v>7</v>
      </c>
    </row>
    <row r="160" spans="1:10">
      <c r="B160" s="764" t="s">
        <v>491</v>
      </c>
      <c r="F160" s="783">
        <f>Year3!J151</f>
        <v>0</v>
      </c>
      <c r="G160" s="783">
        <f>Year3!N151</f>
        <v>6</v>
      </c>
      <c r="H160" s="783">
        <f>Year3!Q151</f>
        <v>0</v>
      </c>
      <c r="I160" s="783">
        <f>Year3!R151</f>
        <v>6</v>
      </c>
      <c r="J160" s="784"/>
    </row>
    <row r="161" spans="1:10">
      <c r="B161" s="764" t="s">
        <v>32</v>
      </c>
      <c r="F161" s="783">
        <f>Year3!J152</f>
        <v>5.873084638191</v>
      </c>
      <c r="G161" s="783">
        <f>Year3!N152</f>
        <v>0</v>
      </c>
      <c r="H161" s="783">
        <f>Year3!Q152</f>
        <v>4.2408515076923079</v>
      </c>
      <c r="I161" s="783">
        <f>Year3!R152</f>
        <v>10.113936145883308</v>
      </c>
      <c r="J161" s="785"/>
    </row>
    <row r="162" spans="1:10">
      <c r="C162" s="764" t="s">
        <v>290</v>
      </c>
      <c r="F162" s="783">
        <f>Year3!J153</f>
        <v>0</v>
      </c>
      <c r="G162" s="783">
        <f>Year3!N153</f>
        <v>92</v>
      </c>
      <c r="H162" s="783">
        <f>Year3!Q153</f>
        <v>0</v>
      </c>
      <c r="I162" s="783">
        <f>Year3!R153</f>
        <v>92</v>
      </c>
      <c r="J162" s="785"/>
    </row>
    <row r="163" spans="1:10">
      <c r="B163" s="764" t="s">
        <v>32</v>
      </c>
      <c r="F163" s="783">
        <f>Year3!J154</f>
        <v>5.873084638191</v>
      </c>
      <c r="G163" s="783">
        <f>Year3!N154</f>
        <v>0</v>
      </c>
      <c r="H163" s="783">
        <f>Year3!Q154</f>
        <v>4.2408515076923079</v>
      </c>
      <c r="I163" s="783">
        <f>Year3!R154</f>
        <v>10.113936145883308</v>
      </c>
      <c r="J163" s="785"/>
    </row>
    <row r="164" spans="1:10">
      <c r="C164" s="764" t="s">
        <v>291</v>
      </c>
      <c r="F164" s="783">
        <f>Year3!J155</f>
        <v>0</v>
      </c>
      <c r="G164" s="783">
        <f>Year3!N155</f>
        <v>5.25</v>
      </c>
      <c r="H164" s="783">
        <f>Year3!Q155</f>
        <v>0</v>
      </c>
      <c r="I164" s="783">
        <f>Year3!R155</f>
        <v>5.25</v>
      </c>
      <c r="J164" s="785"/>
    </row>
    <row r="165" spans="1:10">
      <c r="A165" s="795" t="s">
        <v>4</v>
      </c>
      <c r="B165" s="794"/>
      <c r="C165" s="794"/>
      <c r="D165" s="794"/>
      <c r="E165" s="794"/>
      <c r="F165" s="191">
        <f>Year3!J156</f>
        <v>11.746169276382</v>
      </c>
      <c r="G165" s="191">
        <f>Year3!N156</f>
        <v>103.25</v>
      </c>
      <c r="H165" s="191">
        <f>Year3!Q156</f>
        <v>8.4817030153846158</v>
      </c>
      <c r="I165" s="191">
        <f>Year3!R156</f>
        <v>123.47787229176663</v>
      </c>
      <c r="J165" s="785"/>
    </row>
    <row r="166" spans="1:10" ht="13.5" thickBot="1">
      <c r="A166" s="268"/>
      <c r="B166" s="796"/>
      <c r="C166" s="796"/>
      <c r="D166" s="796"/>
      <c r="E166" s="796"/>
      <c r="F166" s="269"/>
      <c r="G166" s="269"/>
      <c r="H166" s="269"/>
      <c r="I166" s="269"/>
      <c r="J166" s="787"/>
    </row>
    <row r="167" spans="1:10">
      <c r="A167" s="781"/>
      <c r="B167" s="781"/>
      <c r="C167" s="781"/>
      <c r="D167" s="781"/>
      <c r="E167" s="781"/>
      <c r="F167" s="791" t="s">
        <v>144</v>
      </c>
      <c r="G167" s="791" t="s">
        <v>145</v>
      </c>
      <c r="H167" s="791" t="s">
        <v>146</v>
      </c>
      <c r="I167" s="791" t="s">
        <v>147</v>
      </c>
      <c r="J167" s="791" t="s">
        <v>483</v>
      </c>
    </row>
    <row r="168" spans="1:10" ht="13.5" thickBot="1">
      <c r="A168" s="134" t="s">
        <v>8</v>
      </c>
      <c r="B168" s="134" t="s">
        <v>484</v>
      </c>
      <c r="C168" s="134"/>
      <c r="D168" s="134"/>
      <c r="E168" s="134"/>
      <c r="F168" s="782" t="s">
        <v>249</v>
      </c>
      <c r="G168" s="782" t="s">
        <v>249</v>
      </c>
      <c r="H168" s="782" t="s">
        <v>249</v>
      </c>
      <c r="I168" s="782" t="s">
        <v>249</v>
      </c>
      <c r="J168" s="782" t="s">
        <v>249</v>
      </c>
    </row>
    <row r="169" spans="1:10">
      <c r="A169" s="764" t="s">
        <v>486</v>
      </c>
      <c r="F169" s="1617" t="s">
        <v>729</v>
      </c>
      <c r="G169" s="1617"/>
      <c r="H169" s="1617"/>
      <c r="I169" s="1617"/>
    </row>
    <row r="170" spans="1:10">
      <c r="B170" s="764" t="s">
        <v>39</v>
      </c>
      <c r="F170" s="783">
        <f>Year3!J158</f>
        <v>0</v>
      </c>
      <c r="G170" s="783">
        <f>Year3!N158</f>
        <v>16</v>
      </c>
      <c r="H170" s="783">
        <f>Year3!Q158</f>
        <v>0</v>
      </c>
      <c r="I170" s="783">
        <f>Year3!R158</f>
        <v>16</v>
      </c>
      <c r="J170" s="784"/>
    </row>
    <row r="171" spans="1:10">
      <c r="B171" s="764" t="s">
        <v>41</v>
      </c>
      <c r="F171" s="783">
        <f>Year3!J159</f>
        <v>0</v>
      </c>
      <c r="G171" s="783">
        <f>Year3!N159</f>
        <v>10</v>
      </c>
      <c r="H171" s="783">
        <f>Year3!Q159</f>
        <v>0</v>
      </c>
      <c r="I171" s="783">
        <f>Year3!R159</f>
        <v>10</v>
      </c>
      <c r="J171" s="785"/>
    </row>
    <row r="172" spans="1:10" ht="13.5" thickBot="1">
      <c r="B172" s="764" t="s">
        <v>43</v>
      </c>
      <c r="F172" s="783">
        <f>Year3!J160</f>
        <v>0</v>
      </c>
      <c r="G172" s="783">
        <f>Year3!N160</f>
        <v>100</v>
      </c>
      <c r="H172" s="783">
        <f>Year3!Q160</f>
        <v>0</v>
      </c>
      <c r="I172" s="783">
        <f>Year3!R160</f>
        <v>100</v>
      </c>
      <c r="J172" s="785"/>
    </row>
    <row r="173" spans="1:10">
      <c r="A173" s="764" t="s">
        <v>580</v>
      </c>
      <c r="F173" s="783"/>
      <c r="G173" s="783"/>
      <c r="H173" s="783"/>
      <c r="I173" s="783"/>
      <c r="J173" s="781"/>
    </row>
    <row r="174" spans="1:10">
      <c r="B174" s="764" t="s">
        <v>45</v>
      </c>
      <c r="F174" s="783">
        <f>Year3!J161</f>
        <v>0</v>
      </c>
      <c r="G174" s="783">
        <f>Year3!N161</f>
        <v>35</v>
      </c>
      <c r="H174" s="783">
        <f>Year3!Q161</f>
        <v>0</v>
      </c>
      <c r="I174" s="783">
        <f>Year3!R161</f>
        <v>35</v>
      </c>
      <c r="J174" s="784"/>
    </row>
    <row r="175" spans="1:10">
      <c r="B175" s="764" t="s">
        <v>495</v>
      </c>
      <c r="F175" s="783">
        <f>Year3!J162</f>
        <v>0</v>
      </c>
      <c r="G175" s="783">
        <f>Year3!N162</f>
        <v>25</v>
      </c>
      <c r="H175" s="783">
        <f>Year3!Q162</f>
        <v>0</v>
      </c>
      <c r="I175" s="783">
        <f>Year3!R162</f>
        <v>25</v>
      </c>
      <c r="J175" s="785"/>
    </row>
    <row r="176" spans="1:10">
      <c r="B176" s="764" t="s">
        <v>119</v>
      </c>
      <c r="F176" s="783">
        <f>Year3!J163</f>
        <v>0</v>
      </c>
      <c r="G176" s="783">
        <f>Year3!N163</f>
        <v>836.04</v>
      </c>
      <c r="H176" s="783">
        <f>Year3!Q163</f>
        <v>0</v>
      </c>
      <c r="I176" s="783">
        <f>Year3!R163</f>
        <v>836.04</v>
      </c>
      <c r="J176" s="785"/>
    </row>
    <row r="177" spans="1:10">
      <c r="A177" s="137" t="s">
        <v>488</v>
      </c>
      <c r="B177" s="788"/>
      <c r="C177" s="788"/>
      <c r="D177" s="788"/>
      <c r="E177" s="788"/>
      <c r="F177" s="191">
        <f>Year3!J164</f>
        <v>0</v>
      </c>
      <c r="G177" s="191">
        <f>Year3!N164</f>
        <v>1022.04</v>
      </c>
      <c r="H177" s="191">
        <f>Year3!Q164</f>
        <v>0</v>
      </c>
      <c r="I177" s="191">
        <f>Year3!R164</f>
        <v>1022.04</v>
      </c>
      <c r="J177" s="785"/>
    </row>
    <row r="178" spans="1:10">
      <c r="A178" s="764" t="s">
        <v>50</v>
      </c>
      <c r="F178" s="783" t="s">
        <v>7</v>
      </c>
      <c r="G178" s="783" t="s">
        <v>7</v>
      </c>
      <c r="H178" s="783" t="s">
        <v>7</v>
      </c>
      <c r="I178" s="783" t="s">
        <v>7</v>
      </c>
    </row>
    <row r="179" spans="1:10">
      <c r="B179" s="764" t="s">
        <v>52</v>
      </c>
      <c r="F179" s="783">
        <f>Year3!J166</f>
        <v>78.2</v>
      </c>
      <c r="G179" s="783">
        <f>Year3!N166</f>
        <v>0</v>
      </c>
      <c r="H179" s="783">
        <f>Year3!Q166</f>
        <v>50.849538461538472</v>
      </c>
      <c r="I179" s="783">
        <f>Year3!R166</f>
        <v>129.04953846153848</v>
      </c>
      <c r="J179" s="784"/>
    </row>
    <row r="180" spans="1:10">
      <c r="B180" s="764" t="s">
        <v>53</v>
      </c>
      <c r="F180" s="783">
        <f>Year3!J167</f>
        <v>0</v>
      </c>
      <c r="G180" s="783">
        <f>Year3!N167</f>
        <v>70</v>
      </c>
      <c r="H180" s="783">
        <f>Year3!Q167</f>
        <v>0</v>
      </c>
      <c r="I180" s="783">
        <f>Year3!R167</f>
        <v>70</v>
      </c>
      <c r="J180" s="785"/>
    </row>
    <row r="181" spans="1:10">
      <c r="A181" s="137" t="s">
        <v>54</v>
      </c>
      <c r="B181" s="788"/>
      <c r="C181" s="788"/>
      <c r="D181" s="788"/>
      <c r="E181" s="788"/>
      <c r="F181" s="191">
        <f>Year3!J168</f>
        <v>78.2</v>
      </c>
      <c r="G181" s="191">
        <f>Year3!N168</f>
        <v>70</v>
      </c>
      <c r="H181" s="191">
        <f>Year3!Q168</f>
        <v>50.849538461538472</v>
      </c>
      <c r="I181" s="191">
        <f>Year3!R168</f>
        <v>199.04953846153848</v>
      </c>
      <c r="J181" s="785"/>
    </row>
    <row r="183" spans="1:10">
      <c r="A183" s="137" t="s">
        <v>273</v>
      </c>
      <c r="B183" s="788"/>
      <c r="C183" s="788"/>
      <c r="D183" s="788"/>
      <c r="E183" s="788"/>
      <c r="F183" s="191">
        <f>Year3!J169</f>
        <v>3497.2526923804312</v>
      </c>
      <c r="G183" s="191">
        <f>Year3!N169</f>
        <v>11520.425647953223</v>
      </c>
      <c r="H183" s="191">
        <f>Year3!Q169</f>
        <v>14413.354917558974</v>
      </c>
      <c r="I183" s="191">
        <f>Year3!R169</f>
        <v>29331.033257892632</v>
      </c>
      <c r="J183" s="784"/>
    </row>
    <row r="185" spans="1:10" ht="13.5" thickBot="1">
      <c r="A185" s="797"/>
      <c r="B185" s="797"/>
      <c r="C185" s="797"/>
      <c r="D185" s="797"/>
      <c r="E185" s="797"/>
      <c r="F185" s="797"/>
      <c r="G185" s="797"/>
      <c r="H185" s="797"/>
      <c r="I185" s="797"/>
      <c r="J185" s="797"/>
    </row>
    <row r="186" spans="1:10" ht="13.5" thickTop="1">
      <c r="A186" s="764" t="s">
        <v>499</v>
      </c>
    </row>
    <row r="187" spans="1:10">
      <c r="B187" s="764" t="s">
        <v>345</v>
      </c>
      <c r="D187" s="764" t="s">
        <v>666</v>
      </c>
      <c r="G187" s="798">
        <f>HOAssumptions!G42</f>
        <v>3.5</v>
      </c>
      <c r="H187" s="764" t="s">
        <v>667</v>
      </c>
    </row>
    <row r="188" spans="1:10">
      <c r="D188" s="792" t="s">
        <v>668</v>
      </c>
      <c r="G188" s="798">
        <f>HOAssumptions!G43</f>
        <v>0.5</v>
      </c>
      <c r="H188" s="764" t="s">
        <v>667</v>
      </c>
    </row>
    <row r="189" spans="1:10">
      <c r="D189" s="764" t="s">
        <v>669</v>
      </c>
      <c r="G189" s="798">
        <f>HOAssumptions!G45</f>
        <v>7.5</v>
      </c>
      <c r="H189" s="764" t="s">
        <v>670</v>
      </c>
    </row>
    <row r="190" spans="1:10">
      <c r="E190" s="764" t="s">
        <v>672</v>
      </c>
    </row>
    <row r="191" spans="1:10">
      <c r="D191" s="764" t="s">
        <v>671</v>
      </c>
      <c r="G191" s="798">
        <f>HOAssumptions!G44</f>
        <v>0.25</v>
      </c>
      <c r="H191" s="764" t="s">
        <v>667</v>
      </c>
    </row>
    <row r="193" spans="2:5">
      <c r="B193" s="764" t="s">
        <v>500</v>
      </c>
      <c r="E193" s="764" t="s">
        <v>501</v>
      </c>
    </row>
    <row r="194" spans="2:5">
      <c r="B194" s="764" t="s">
        <v>380</v>
      </c>
      <c r="E194" s="764" t="s">
        <v>502</v>
      </c>
    </row>
    <row r="195" spans="2:5">
      <c r="B195" s="764" t="s">
        <v>560</v>
      </c>
      <c r="E195" s="764" t="s">
        <v>561</v>
      </c>
    </row>
  </sheetData>
  <sheetProtection password="A5F1" sheet="1" objects="1" scenarios="1"/>
  <mergeCells count="5">
    <mergeCell ref="A1:J1"/>
    <mergeCell ref="F5:I5"/>
    <mergeCell ref="F58:I58"/>
    <mergeCell ref="F113:I113"/>
    <mergeCell ref="F169:I169"/>
  </mergeCells>
  <pageMargins left="1" right="0" top="0.75" bottom="0.75" header="0.3" footer="0.3"/>
  <pageSetup orientation="portrait"/>
</worksheet>
</file>

<file path=xl/worksheets/sheet7.xml><?xml version="1.0" encoding="utf-8"?>
<worksheet xmlns="http://schemas.openxmlformats.org/spreadsheetml/2006/main" xmlns:r="http://schemas.openxmlformats.org/officeDocument/2006/relationships">
  <sheetPr enableFormatConditionsCalculation="0">
    <tabColor rgb="FF7030A0"/>
  </sheetPr>
  <dimension ref="B1:I78"/>
  <sheetViews>
    <sheetView zoomScale="125" zoomScaleNormal="125" workbookViewId="0">
      <selection activeCell="G57" sqref="G57"/>
    </sheetView>
  </sheetViews>
  <sheetFormatPr defaultColWidth="8.85546875" defaultRowHeight="12.75"/>
  <cols>
    <col min="2" max="2" width="17.7109375" customWidth="1"/>
    <col min="3" max="6" width="10.7109375" customWidth="1"/>
    <col min="7" max="7" width="2.7109375" customWidth="1"/>
  </cols>
  <sheetData>
    <row r="1" spans="2:9">
      <c r="B1" s="1610" t="s">
        <v>503</v>
      </c>
      <c r="C1" s="1610"/>
      <c r="D1" s="1610"/>
      <c r="E1" s="1610"/>
      <c r="F1" s="1610"/>
      <c r="G1" s="1610"/>
      <c r="H1" s="1610"/>
      <c r="I1" s="1610"/>
    </row>
    <row r="2" spans="2:9" ht="13.5" thickBot="1"/>
    <row r="3" spans="2:9">
      <c r="B3" s="158" t="s">
        <v>7</v>
      </c>
      <c r="C3" s="159" t="s">
        <v>144</v>
      </c>
      <c r="D3" s="159" t="s">
        <v>158</v>
      </c>
      <c r="E3" s="159" t="s">
        <v>146</v>
      </c>
      <c r="F3" s="159" t="s">
        <v>147</v>
      </c>
      <c r="G3" s="159"/>
      <c r="H3" s="1618" t="s">
        <v>483</v>
      </c>
      <c r="I3" s="1618"/>
    </row>
    <row r="4" spans="2:9" ht="13.5" thickBot="1">
      <c r="B4" s="140" t="s">
        <v>504</v>
      </c>
      <c r="C4" s="160" t="s">
        <v>249</v>
      </c>
      <c r="D4" s="160" t="s">
        <v>249</v>
      </c>
      <c r="E4" s="160" t="s">
        <v>249</v>
      </c>
      <c r="F4" s="160" t="s">
        <v>249</v>
      </c>
      <c r="G4" s="160"/>
      <c r="H4" s="1619" t="s">
        <v>249</v>
      </c>
      <c r="I4" s="1619"/>
    </row>
    <row r="5" spans="2:9">
      <c r="C5" s="1614" t="s">
        <v>729</v>
      </c>
      <c r="D5" s="1614"/>
      <c r="E5" s="1614"/>
      <c r="F5" s="1614"/>
    </row>
    <row r="6" spans="2:9">
      <c r="B6" t="s">
        <v>505</v>
      </c>
    </row>
    <row r="7" spans="2:9">
      <c r="B7" t="s">
        <v>79</v>
      </c>
      <c r="C7" s="136">
        <f>SummaryCosts!B6</f>
        <v>0</v>
      </c>
      <c r="D7" s="136">
        <f>SummaryCosts!C6</f>
        <v>0</v>
      </c>
      <c r="E7" s="136">
        <f>SummaryCosts!D6</f>
        <v>0</v>
      </c>
      <c r="F7" s="136">
        <f>SUM(C7:E7)</f>
        <v>0</v>
      </c>
      <c r="G7" s="136"/>
      <c r="H7" s="161"/>
      <c r="I7" s="74"/>
    </row>
    <row r="8" spans="2:9">
      <c r="B8" t="s">
        <v>69</v>
      </c>
      <c r="C8" s="136">
        <f>SummaryCosts!B7</f>
        <v>0</v>
      </c>
      <c r="D8" s="136">
        <f>SummaryCosts!C7</f>
        <v>25</v>
      </c>
      <c r="E8" s="136">
        <f>SummaryCosts!D7</f>
        <v>40.679630769230776</v>
      </c>
      <c r="F8" s="136">
        <f t="shared" ref="F8:F20" si="0">SUM(C8:E8)</f>
        <v>65.679630769230783</v>
      </c>
      <c r="G8" s="136"/>
      <c r="H8" s="162"/>
      <c r="I8" s="139"/>
    </row>
    <row r="9" spans="2:9">
      <c r="B9" t="s">
        <v>84</v>
      </c>
      <c r="C9" s="136">
        <f>SummaryCosts!B8</f>
        <v>0</v>
      </c>
      <c r="D9" s="136">
        <f>SummaryCosts!C8</f>
        <v>0</v>
      </c>
      <c r="E9" s="136">
        <f>SummaryCosts!D8</f>
        <v>0</v>
      </c>
      <c r="F9" s="136">
        <f t="shared" si="0"/>
        <v>0</v>
      </c>
      <c r="G9" s="136"/>
      <c r="H9" s="162"/>
      <c r="I9" s="139"/>
    </row>
    <row r="10" spans="2:9">
      <c r="B10" t="s">
        <v>57</v>
      </c>
      <c r="C10" s="136">
        <f>SummaryCosts!B9</f>
        <v>0</v>
      </c>
      <c r="D10" s="136">
        <f>SummaryCosts!C9</f>
        <v>8</v>
      </c>
      <c r="E10" s="136">
        <f>SummaryCosts!D9</f>
        <v>8.4749230769230781</v>
      </c>
      <c r="F10" s="136">
        <f t="shared" si="0"/>
        <v>16.474923076923076</v>
      </c>
      <c r="G10" s="136"/>
      <c r="H10" s="162"/>
      <c r="I10" s="139"/>
    </row>
    <row r="11" spans="2:9">
      <c r="B11" t="s">
        <v>28</v>
      </c>
      <c r="C11" s="136">
        <f>SummaryCosts!B10</f>
        <v>40.777485320991005</v>
      </c>
      <c r="D11" s="136">
        <f>SummaryCosts!C10</f>
        <v>47.73</v>
      </c>
      <c r="E11" s="136">
        <f>SummaryCosts!D10</f>
        <v>231.53828843076928</v>
      </c>
      <c r="F11" s="136">
        <f t="shared" si="0"/>
        <v>320.04577375176029</v>
      </c>
      <c r="G11" s="136"/>
      <c r="H11" s="162"/>
      <c r="I11" s="139"/>
    </row>
    <row r="12" spans="2:9">
      <c r="B12" t="s">
        <v>105</v>
      </c>
      <c r="C12" s="136">
        <f>SummaryCosts!B11</f>
        <v>4.6198861455555562</v>
      </c>
      <c r="D12" s="136">
        <f>SummaryCosts!C11</f>
        <v>6</v>
      </c>
      <c r="E12" s="136">
        <f>SummaryCosts!D11</f>
        <v>3.1780961538461545</v>
      </c>
      <c r="F12" s="136">
        <f t="shared" si="0"/>
        <v>13.79798229940171</v>
      </c>
      <c r="G12" s="136"/>
      <c r="H12" s="162"/>
      <c r="I12" s="139"/>
    </row>
    <row r="13" spans="2:9">
      <c r="B13" t="s">
        <v>108</v>
      </c>
      <c r="C13" s="136">
        <f>SummaryCosts!B12</f>
        <v>4.6198861455555562</v>
      </c>
      <c r="D13" s="136">
        <f>SummaryCosts!C12</f>
        <v>6</v>
      </c>
      <c r="E13" s="136">
        <f>SummaryCosts!D12</f>
        <v>3.1780961538461545</v>
      </c>
      <c r="F13" s="136">
        <f t="shared" si="0"/>
        <v>13.79798229940171</v>
      </c>
      <c r="G13" s="136"/>
      <c r="H13" s="162"/>
      <c r="I13" s="139"/>
    </row>
    <row r="14" spans="2:9">
      <c r="B14" t="s">
        <v>110</v>
      </c>
      <c r="C14" s="136">
        <f>SummaryCosts!B13</f>
        <v>4.6198861455555562</v>
      </c>
      <c r="D14" s="136">
        <f>SummaryCosts!C13</f>
        <v>6</v>
      </c>
      <c r="E14" s="136">
        <f>SummaryCosts!D13</f>
        <v>3.1780961538461545</v>
      </c>
      <c r="F14" s="136">
        <f t="shared" si="0"/>
        <v>13.79798229940171</v>
      </c>
      <c r="G14" s="136"/>
      <c r="H14" s="162"/>
      <c r="I14" s="139"/>
    </row>
    <row r="15" spans="2:9">
      <c r="B15" t="s">
        <v>112</v>
      </c>
      <c r="C15" s="136">
        <f>SummaryCosts!B14</f>
        <v>4.6198861455555562</v>
      </c>
      <c r="D15" s="136">
        <f>SummaryCosts!C14</f>
        <v>6</v>
      </c>
      <c r="E15" s="136">
        <f>SummaryCosts!D14</f>
        <v>3.1780961538461545</v>
      </c>
      <c r="F15" s="136">
        <f t="shared" si="0"/>
        <v>13.79798229940171</v>
      </c>
      <c r="G15" s="136"/>
      <c r="H15" s="162"/>
      <c r="I15" s="139"/>
    </row>
    <row r="16" spans="2:9">
      <c r="B16" t="s">
        <v>27</v>
      </c>
      <c r="C16" s="136">
        <f>SummaryCosts!B15</f>
        <v>0</v>
      </c>
      <c r="D16" s="136">
        <f>SummaryCosts!C15</f>
        <v>6</v>
      </c>
      <c r="E16" s="136">
        <f>SummaryCosts!D15</f>
        <v>0</v>
      </c>
      <c r="F16" s="136">
        <f t="shared" si="0"/>
        <v>6</v>
      </c>
      <c r="G16" s="136"/>
      <c r="H16" s="162"/>
      <c r="I16" s="139"/>
    </row>
    <row r="17" spans="2:9">
      <c r="B17" t="s">
        <v>0</v>
      </c>
      <c r="C17" s="136">
        <f>SummaryCosts!B16</f>
        <v>0</v>
      </c>
      <c r="D17" s="136">
        <f>SummaryCosts!C16</f>
        <v>6</v>
      </c>
      <c r="E17" s="136">
        <f>SummaryCosts!D16</f>
        <v>0</v>
      </c>
      <c r="F17" s="136">
        <f t="shared" si="0"/>
        <v>6</v>
      </c>
      <c r="G17" s="136"/>
      <c r="H17" s="162"/>
      <c r="I17" s="139"/>
    </row>
    <row r="18" spans="2:9">
      <c r="B18" t="s">
        <v>3</v>
      </c>
      <c r="C18" s="136">
        <f>SummaryCosts!B17</f>
        <v>222.77914461916669</v>
      </c>
      <c r="D18" s="136">
        <f>SummaryCosts!C17</f>
        <v>5859.3</v>
      </c>
      <c r="E18" s="136">
        <f>SummaryCosts!D17</f>
        <v>1664.6999423076925</v>
      </c>
      <c r="F18" s="136">
        <f t="shared" si="0"/>
        <v>7746.7790869268592</v>
      </c>
      <c r="G18" s="136"/>
      <c r="H18" s="162"/>
      <c r="I18" s="139"/>
    </row>
    <row r="19" spans="2:9">
      <c r="B19" t="s">
        <v>251</v>
      </c>
      <c r="C19" s="136">
        <f>SummaryCosts!B18</f>
        <v>0</v>
      </c>
      <c r="D19" s="136">
        <f>SummaryCosts!C18</f>
        <v>186</v>
      </c>
      <c r="E19" s="136">
        <f>SummaryCosts!D18</f>
        <v>0</v>
      </c>
      <c r="F19" s="136">
        <f t="shared" si="0"/>
        <v>186</v>
      </c>
      <c r="G19" s="136"/>
      <c r="H19" s="162"/>
      <c r="I19" s="139"/>
    </row>
    <row r="20" spans="2:9">
      <c r="B20" t="s">
        <v>259</v>
      </c>
      <c r="C20" s="136">
        <f>SummaryCosts!B19</f>
        <v>31.28</v>
      </c>
      <c r="D20" s="136">
        <f>SummaryCosts!C19</f>
        <v>70</v>
      </c>
      <c r="E20" s="136">
        <f>SummaryCosts!D19</f>
        <v>20.339815384615388</v>
      </c>
      <c r="F20" s="136">
        <f t="shared" si="0"/>
        <v>121.61981538461539</v>
      </c>
      <c r="G20" s="136"/>
      <c r="H20" s="162"/>
      <c r="I20" s="139"/>
    </row>
    <row r="21" spans="2:9">
      <c r="B21" s="137" t="s">
        <v>255</v>
      </c>
      <c r="C21" s="163">
        <f>SUM(C7:C20)</f>
        <v>313.31617452237992</v>
      </c>
      <c r="D21" s="163">
        <f>SUM(D7:D20)</f>
        <v>6232.03</v>
      </c>
      <c r="E21" s="163">
        <f>SUM(E7:E20)</f>
        <v>1978.4449845846154</v>
      </c>
      <c r="F21" s="163">
        <f>SUM(F7:F20)</f>
        <v>8523.7911591069969</v>
      </c>
      <c r="G21" s="136"/>
      <c r="H21" s="162"/>
      <c r="I21" s="139"/>
    </row>
    <row r="22" spans="2:9">
      <c r="C22" s="136"/>
      <c r="D22" s="136"/>
      <c r="E22" s="136"/>
      <c r="F22" s="136"/>
      <c r="G22" s="136"/>
      <c r="H22" s="136"/>
    </row>
    <row r="23" spans="2:9">
      <c r="B23" t="s">
        <v>506</v>
      </c>
      <c r="C23" s="136"/>
      <c r="D23" s="136"/>
      <c r="E23" s="136"/>
      <c r="F23" s="136"/>
      <c r="G23" s="136"/>
      <c r="H23" s="136"/>
    </row>
    <row r="24" spans="2:9">
      <c r="B24" t="s">
        <v>79</v>
      </c>
      <c r="C24" s="136">
        <f>SummaryCosts!B22</f>
        <v>0</v>
      </c>
      <c r="D24" s="136">
        <f>SummaryCosts!C22</f>
        <v>6</v>
      </c>
      <c r="E24" s="136">
        <f>SummaryCosts!D22</f>
        <v>0</v>
      </c>
      <c r="F24" s="136">
        <f>SUM(C24:E24)</f>
        <v>6</v>
      </c>
      <c r="G24" s="136"/>
      <c r="H24" s="161"/>
      <c r="I24" s="74"/>
    </row>
    <row r="25" spans="2:9">
      <c r="B25" t="s">
        <v>69</v>
      </c>
      <c r="C25" s="136">
        <f>SummaryCosts!B23</f>
        <v>0</v>
      </c>
      <c r="D25" s="136">
        <f>SummaryCosts!C23</f>
        <v>41.2</v>
      </c>
      <c r="E25" s="136">
        <f>SummaryCosts!D23</f>
        <v>83.054246153846165</v>
      </c>
      <c r="F25" s="136">
        <f t="shared" ref="F25:F37" si="1">SUM(C25:E25)</f>
        <v>124.25424615384617</v>
      </c>
      <c r="G25" s="136"/>
      <c r="H25" s="162"/>
      <c r="I25" s="139"/>
    </row>
    <row r="26" spans="2:9">
      <c r="B26" t="s">
        <v>84</v>
      </c>
      <c r="C26" s="136">
        <f>SummaryCosts!B24</f>
        <v>216.9845955426</v>
      </c>
      <c r="D26" s="136">
        <f>SummaryCosts!C24</f>
        <v>390</v>
      </c>
      <c r="E26" s="136">
        <f>SummaryCosts!D24</f>
        <v>416.96621538461545</v>
      </c>
      <c r="F26" s="136">
        <f t="shared" si="1"/>
        <v>1023.9508109272155</v>
      </c>
      <c r="G26" s="136"/>
      <c r="H26" s="162"/>
      <c r="I26" s="139"/>
    </row>
    <row r="27" spans="2:9">
      <c r="B27" t="s">
        <v>57</v>
      </c>
      <c r="C27" s="136">
        <f>SummaryCosts!B25</f>
        <v>127.26368062788889</v>
      </c>
      <c r="D27" s="136">
        <f>SummaryCosts!C25</f>
        <v>385.44</v>
      </c>
      <c r="E27" s="136">
        <f>SummaryCosts!D25</f>
        <v>1022.4199030769233</v>
      </c>
      <c r="F27" s="136">
        <f t="shared" si="1"/>
        <v>1535.1235837048121</v>
      </c>
      <c r="G27" s="136"/>
      <c r="H27" s="162"/>
      <c r="I27" s="139"/>
    </row>
    <row r="28" spans="2:9">
      <c r="B28" t="s">
        <v>28</v>
      </c>
      <c r="C28" s="136">
        <f>SummaryCosts!B26</f>
        <v>56.843001512888883</v>
      </c>
      <c r="D28" s="136">
        <f>SummaryCosts!C26</f>
        <v>31.19</v>
      </c>
      <c r="E28" s="136">
        <f>SummaryCosts!D26</f>
        <v>43.222107692307695</v>
      </c>
      <c r="F28" s="136">
        <f t="shared" si="1"/>
        <v>131.25510920519659</v>
      </c>
      <c r="G28" s="136"/>
      <c r="H28" s="162"/>
      <c r="I28" s="139"/>
    </row>
    <row r="29" spans="2:9">
      <c r="B29" t="s">
        <v>105</v>
      </c>
      <c r="C29" s="136">
        <f>SummaryCosts!B27</f>
        <v>403.00128727288882</v>
      </c>
      <c r="D29" s="136">
        <f>SummaryCosts!C27</f>
        <v>6</v>
      </c>
      <c r="E29" s="136">
        <f>SummaryCosts!D27</f>
        <v>38.984646153846157</v>
      </c>
      <c r="F29" s="136">
        <f t="shared" si="1"/>
        <v>447.98593342673496</v>
      </c>
      <c r="G29" s="136"/>
      <c r="H29" s="162"/>
      <c r="I29" s="139"/>
    </row>
    <row r="30" spans="2:9">
      <c r="B30" t="s">
        <v>108</v>
      </c>
      <c r="C30" s="136">
        <f>SummaryCosts!B28</f>
        <v>509.29547246577772</v>
      </c>
      <c r="D30" s="136">
        <f>SummaryCosts!C28</f>
        <v>6</v>
      </c>
      <c r="E30" s="136">
        <f>SummaryCosts!D28</f>
        <v>52.544523076923085</v>
      </c>
      <c r="F30" s="136">
        <f t="shared" si="1"/>
        <v>567.83999554270076</v>
      </c>
      <c r="G30" s="136"/>
      <c r="H30" s="162"/>
      <c r="I30" s="139"/>
    </row>
    <row r="31" spans="2:9">
      <c r="B31" t="s">
        <v>110</v>
      </c>
      <c r="C31" s="136">
        <f>SummaryCosts!B29</f>
        <v>404.38795393955547</v>
      </c>
      <c r="D31" s="136">
        <f>SummaryCosts!C29</f>
        <v>506</v>
      </c>
      <c r="E31" s="136">
        <f>SummaryCosts!D29</f>
        <v>1691.5946461538465</v>
      </c>
      <c r="F31" s="136">
        <f t="shared" si="1"/>
        <v>2601.9826000934017</v>
      </c>
      <c r="G31" s="136"/>
      <c r="H31" s="162"/>
      <c r="I31" s="139"/>
    </row>
    <row r="32" spans="2:9">
      <c r="B32" t="s">
        <v>112</v>
      </c>
      <c r="C32" s="136">
        <f>SummaryCosts!B30</f>
        <v>14.651569137746556</v>
      </c>
      <c r="D32" s="136">
        <f>SummaryCosts!C30</f>
        <v>509.52</v>
      </c>
      <c r="E32" s="136">
        <f>SummaryCosts!D30</f>
        <v>856.81811304615394</v>
      </c>
      <c r="F32" s="136">
        <f t="shared" si="1"/>
        <v>1380.9896821839006</v>
      </c>
      <c r="G32" s="136"/>
      <c r="H32" s="162"/>
      <c r="I32" s="139"/>
    </row>
    <row r="33" spans="2:9">
      <c r="B33" t="s">
        <v>27</v>
      </c>
      <c r="C33" s="136">
        <f>SummaryCosts!B31</f>
        <v>0</v>
      </c>
      <c r="D33" s="136">
        <f>SummaryCosts!C31</f>
        <v>6</v>
      </c>
      <c r="E33" s="136">
        <f>SummaryCosts!D31</f>
        <v>0</v>
      </c>
      <c r="F33" s="136">
        <f t="shared" si="1"/>
        <v>6</v>
      </c>
      <c r="G33" s="136"/>
      <c r="H33" s="162"/>
      <c r="I33" s="139"/>
    </row>
    <row r="34" spans="2:9">
      <c r="B34" t="s">
        <v>0</v>
      </c>
      <c r="C34" s="136">
        <f>SummaryCosts!B32</f>
        <v>0</v>
      </c>
      <c r="D34" s="136">
        <f>SummaryCosts!C32</f>
        <v>6</v>
      </c>
      <c r="E34" s="136">
        <f>SummaryCosts!D32</f>
        <v>0</v>
      </c>
      <c r="F34" s="136">
        <f t="shared" si="1"/>
        <v>6</v>
      </c>
      <c r="G34" s="136"/>
      <c r="H34" s="162"/>
      <c r="I34" s="139"/>
    </row>
    <row r="35" spans="2:9">
      <c r="B35" t="s">
        <v>3</v>
      </c>
      <c r="C35" s="136">
        <f>SummaryCosts!B33</f>
        <v>0</v>
      </c>
      <c r="D35" s="136">
        <f>SummaryCosts!C33</f>
        <v>6</v>
      </c>
      <c r="E35" s="136">
        <f>SummaryCosts!D33</f>
        <v>0</v>
      </c>
      <c r="F35" s="136">
        <f t="shared" si="1"/>
        <v>6</v>
      </c>
      <c r="G35" s="136"/>
      <c r="H35" s="162"/>
      <c r="I35" s="139"/>
    </row>
    <row r="36" spans="2:9">
      <c r="B36" t="s">
        <v>251</v>
      </c>
      <c r="C36" s="136">
        <f>SummaryCosts!B34</f>
        <v>0</v>
      </c>
      <c r="D36" s="136">
        <f>SummaryCosts!C34</f>
        <v>351.64</v>
      </c>
      <c r="E36" s="136">
        <f>SummaryCosts!D34</f>
        <v>0</v>
      </c>
      <c r="F36" s="136">
        <f t="shared" si="1"/>
        <v>351.64</v>
      </c>
      <c r="G36" s="136"/>
      <c r="H36" s="162"/>
      <c r="I36" s="139"/>
    </row>
    <row r="37" spans="2:9">
      <c r="B37" t="s">
        <v>259</v>
      </c>
      <c r="C37" s="136">
        <f>SummaryCosts!B35</f>
        <v>78.2</v>
      </c>
      <c r="D37" s="136">
        <f>SummaryCosts!C35</f>
        <v>70</v>
      </c>
      <c r="E37" s="136">
        <f>SummaryCosts!D35</f>
        <v>50.849538461538472</v>
      </c>
      <c r="F37" s="136">
        <f t="shared" si="1"/>
        <v>199.04953846153848</v>
      </c>
      <c r="G37" s="136"/>
      <c r="H37" s="162"/>
      <c r="I37" s="139"/>
    </row>
    <row r="38" spans="2:9">
      <c r="B38" s="137" t="s">
        <v>256</v>
      </c>
      <c r="C38" s="163">
        <f>SUM(C24:C37)</f>
        <v>1810.6275604993464</v>
      </c>
      <c r="D38" s="163">
        <f>SUM(D24:D37)</f>
        <v>2320.9899999999998</v>
      </c>
      <c r="E38" s="163">
        <f>SUM(E24:E37)</f>
        <v>4256.4539392000006</v>
      </c>
      <c r="F38" s="163">
        <f>SUM(F24:F37)</f>
        <v>8388.0714996993465</v>
      </c>
      <c r="G38" s="136"/>
      <c r="H38" s="162"/>
      <c r="I38" s="139"/>
    </row>
    <row r="39" spans="2:9">
      <c r="C39" s="136"/>
      <c r="D39" s="136"/>
      <c r="E39" s="136"/>
      <c r="F39" s="136"/>
      <c r="G39" s="136"/>
      <c r="H39" s="136"/>
    </row>
    <row r="40" spans="2:9">
      <c r="B40" s="18" t="s">
        <v>606</v>
      </c>
      <c r="C40" s="311">
        <f>Yields!G14</f>
        <v>2200</v>
      </c>
      <c r="D40" s="312" t="s">
        <v>605</v>
      </c>
      <c r="G40" s="136"/>
    </row>
    <row r="41" spans="2:9">
      <c r="B41" t="s">
        <v>79</v>
      </c>
      <c r="C41" s="136">
        <f>SummaryCosts!B38</f>
        <v>6.9333333333333327</v>
      </c>
      <c r="D41" s="136">
        <f>SummaryCosts!C38</f>
        <v>7229.5</v>
      </c>
      <c r="E41" s="136">
        <f>SummaryCosts!D38</f>
        <v>72.12360000000001</v>
      </c>
      <c r="F41" s="136">
        <f>SUM(C41:E41)</f>
        <v>7308.5569333333333</v>
      </c>
      <c r="G41" s="136"/>
      <c r="H41" s="161"/>
      <c r="I41" s="74"/>
    </row>
    <row r="42" spans="2:9">
      <c r="B42" t="s">
        <v>69</v>
      </c>
      <c r="C42" s="136">
        <f>SummaryCosts!B39</f>
        <v>10.829681640082667</v>
      </c>
      <c r="D42" s="136">
        <f>SummaryCosts!C39</f>
        <v>131</v>
      </c>
      <c r="E42" s="136">
        <f>SummaryCosts!D39</f>
        <v>309.33808227692316</v>
      </c>
      <c r="F42" s="136">
        <f t="shared" ref="F42:F54" si="2">SUM(C42:E42)</f>
        <v>451.1677639170058</v>
      </c>
      <c r="G42" s="136"/>
      <c r="H42" s="162"/>
      <c r="I42" s="139"/>
    </row>
    <row r="43" spans="2:9">
      <c r="B43" t="s">
        <v>84</v>
      </c>
      <c r="C43" s="136">
        <f>SummaryCosts!B40</f>
        <v>84.277849697229996</v>
      </c>
      <c r="D43" s="136">
        <f>SummaryCosts!C40</f>
        <v>141.59061730994532</v>
      </c>
      <c r="E43" s="136">
        <f>SummaryCosts!D40</f>
        <v>788.18479600000023</v>
      </c>
      <c r="F43" s="136">
        <f t="shared" si="2"/>
        <v>1014.0532630071755</v>
      </c>
      <c r="G43" s="136"/>
      <c r="H43" s="162"/>
      <c r="I43" s="139"/>
    </row>
    <row r="44" spans="2:9">
      <c r="B44" t="s">
        <v>57</v>
      </c>
      <c r="C44" s="136">
        <f>SummaryCosts!B41</f>
        <v>64.177213626832</v>
      </c>
      <c r="D44" s="136">
        <f>SummaryCosts!C41</f>
        <v>279.89999999999998</v>
      </c>
      <c r="E44" s="136">
        <f>SummaryCosts!D41</f>
        <v>27.458161209364555</v>
      </c>
      <c r="F44" s="136">
        <f t="shared" si="2"/>
        <v>371.53537483619652</v>
      </c>
      <c r="G44" s="136"/>
      <c r="H44" s="162"/>
      <c r="I44" s="139"/>
    </row>
    <row r="45" spans="2:9">
      <c r="B45" t="s">
        <v>28</v>
      </c>
      <c r="C45" s="136">
        <f>SummaryCosts!B42</f>
        <v>574.19609740655289</v>
      </c>
      <c r="D45" s="136">
        <f>SummaryCosts!C42</f>
        <v>407.01584865497267</v>
      </c>
      <c r="E45" s="136">
        <f>SummaryCosts!D42</f>
        <v>72.762944492307696</v>
      </c>
      <c r="F45" s="136">
        <f t="shared" si="2"/>
        <v>1053.9748905538333</v>
      </c>
      <c r="G45" s="136"/>
      <c r="H45" s="162"/>
      <c r="I45" s="139"/>
    </row>
    <row r="46" spans="2:9">
      <c r="B46" t="s">
        <v>105</v>
      </c>
      <c r="C46" s="136">
        <f>SummaryCosts!B43</f>
        <v>839.43643578249043</v>
      </c>
      <c r="D46" s="136">
        <f>SummaryCosts!C43</f>
        <v>524.46</v>
      </c>
      <c r="E46" s="136">
        <f>SummaryCosts!D43</f>
        <v>3311.1062519589746</v>
      </c>
      <c r="F46" s="136">
        <f t="shared" si="2"/>
        <v>4675.0026877414648</v>
      </c>
      <c r="G46" s="136"/>
      <c r="H46" s="162"/>
      <c r="I46" s="139"/>
    </row>
    <row r="47" spans="2:9">
      <c r="B47" t="s">
        <v>108</v>
      </c>
      <c r="C47" s="136">
        <f>SummaryCosts!B44</f>
        <v>944.51076477645938</v>
      </c>
      <c r="D47" s="136">
        <f>SummaryCosts!C44</f>
        <v>104.11584865497267</v>
      </c>
      <c r="E47" s="136">
        <f>SummaryCosts!D44</f>
        <v>3551.6402288820514</v>
      </c>
      <c r="F47" s="292">
        <f t="shared" si="2"/>
        <v>4600.2668423134837</v>
      </c>
      <c r="G47" s="136"/>
      <c r="H47" s="162"/>
      <c r="I47" s="139"/>
    </row>
    <row r="48" spans="2:9">
      <c r="B48" t="s">
        <v>110</v>
      </c>
      <c r="C48" s="136">
        <f>SummaryCosts!B45</f>
        <v>824.57616630870473</v>
      </c>
      <c r="D48" s="136">
        <f>SummaryCosts!C45</f>
        <v>206</v>
      </c>
      <c r="E48" s="136">
        <f>SummaryCosts!D45</f>
        <v>4290.1519589743593</v>
      </c>
      <c r="F48" s="164">
        <f t="shared" si="2"/>
        <v>5320.7281252830635</v>
      </c>
      <c r="G48" s="136"/>
      <c r="H48" s="162"/>
      <c r="I48" s="139"/>
    </row>
    <row r="49" spans="2:9">
      <c r="B49" t="s">
        <v>112</v>
      </c>
      <c r="C49" s="136">
        <f>SummaryCosts!B46</f>
        <v>1.3866666666666665</v>
      </c>
      <c r="D49" s="136">
        <f>SummaryCosts!C46</f>
        <v>206</v>
      </c>
      <c r="E49" s="136">
        <f>SummaryCosts!D46</f>
        <v>847.4923076923078</v>
      </c>
      <c r="F49" s="136">
        <f t="shared" si="2"/>
        <v>1054.8789743589746</v>
      </c>
      <c r="G49" s="136"/>
      <c r="H49" s="162"/>
      <c r="I49" s="139"/>
    </row>
    <row r="50" spans="2:9">
      <c r="B50" t="s">
        <v>27</v>
      </c>
      <c r="C50" s="136">
        <f>SummaryCosts!B47</f>
        <v>0</v>
      </c>
      <c r="D50" s="136">
        <f>SummaryCosts!C47</f>
        <v>6</v>
      </c>
      <c r="E50" s="136">
        <f>SummaryCosts!D47</f>
        <v>0</v>
      </c>
      <c r="F50" s="136">
        <f t="shared" si="2"/>
        <v>6</v>
      </c>
      <c r="G50" s="136"/>
      <c r="H50" s="162"/>
      <c r="I50" s="139"/>
    </row>
    <row r="51" spans="2:9">
      <c r="B51" t="s">
        <v>0</v>
      </c>
      <c r="C51" s="136">
        <f>SummaryCosts!B48</f>
        <v>5.873084638191</v>
      </c>
      <c r="D51" s="136">
        <f>SummaryCosts!C48</f>
        <v>9.52</v>
      </c>
      <c r="E51" s="136">
        <f>SummaryCosts!D48</f>
        <v>173.73931304615385</v>
      </c>
      <c r="F51" s="136">
        <f t="shared" si="2"/>
        <v>189.13239768434485</v>
      </c>
      <c r="G51" s="136"/>
      <c r="H51" s="162"/>
      <c r="I51" s="139"/>
    </row>
    <row r="52" spans="2:9">
      <c r="B52" t="s">
        <v>3</v>
      </c>
      <c r="C52" s="136">
        <f>SummaryCosts!B49</f>
        <v>11.746169276382</v>
      </c>
      <c r="D52" s="136">
        <f>SummaryCosts!C49</f>
        <v>103.25</v>
      </c>
      <c r="E52" s="136">
        <f>SummaryCosts!D49</f>
        <v>8.4817030153846158</v>
      </c>
      <c r="F52" s="136">
        <f t="shared" si="2"/>
        <v>123.47787229176662</v>
      </c>
      <c r="G52" s="136"/>
      <c r="H52" s="162"/>
      <c r="I52" s="139"/>
    </row>
    <row r="53" spans="2:9">
      <c r="B53" t="s">
        <v>251</v>
      </c>
      <c r="C53" s="136">
        <f>SummaryCosts!B50</f>
        <v>0</v>
      </c>
      <c r="D53" s="136">
        <f>SummaryCosts!C50</f>
        <v>1022.04</v>
      </c>
      <c r="E53" s="136">
        <f>SummaryCosts!D50</f>
        <v>0</v>
      </c>
      <c r="F53" s="136">
        <f t="shared" si="2"/>
        <v>1022.04</v>
      </c>
      <c r="G53" s="136"/>
      <c r="H53" s="162"/>
      <c r="I53" s="139"/>
    </row>
    <row r="54" spans="2:9">
      <c r="B54" t="s">
        <v>259</v>
      </c>
      <c r="C54" s="136">
        <f>SummaryCosts!B51</f>
        <v>78.2</v>
      </c>
      <c r="D54" s="136">
        <f>SummaryCosts!C51</f>
        <v>70</v>
      </c>
      <c r="E54" s="136">
        <f>SummaryCosts!D51</f>
        <v>50.849538461538472</v>
      </c>
      <c r="F54" s="136">
        <f t="shared" si="2"/>
        <v>199.04953846153848</v>
      </c>
      <c r="G54" s="136"/>
      <c r="H54" s="162"/>
      <c r="I54" s="139"/>
    </row>
    <row r="55" spans="2:9">
      <c r="B55" s="137" t="s">
        <v>257</v>
      </c>
      <c r="C55" s="163">
        <f>SUM(C41:C54)</f>
        <v>3446.1434631529246</v>
      </c>
      <c r="D55" s="163">
        <f>SUM(D41:D54)</f>
        <v>10440.39231461989</v>
      </c>
      <c r="E55" s="163">
        <f>SUM(E41:E54)</f>
        <v>13503.328886009365</v>
      </c>
      <c r="F55" s="163">
        <f>SUM(F41:F54)</f>
        <v>27389.864663782177</v>
      </c>
      <c r="G55" s="136"/>
      <c r="H55" s="162"/>
      <c r="I55" s="139"/>
    </row>
    <row r="56" spans="2:9" ht="13.5" thickBot="1">
      <c r="B56" s="268"/>
      <c r="C56" s="269"/>
      <c r="D56" s="269"/>
      <c r="E56" s="269"/>
      <c r="F56" s="269"/>
      <c r="G56" s="136"/>
      <c r="H56" s="267"/>
      <c r="I56" s="195"/>
    </row>
    <row r="57" spans="2:9">
      <c r="B57" s="158" t="s">
        <v>7</v>
      </c>
      <c r="C57" s="159" t="s">
        <v>144</v>
      </c>
      <c r="D57" s="159" t="s">
        <v>158</v>
      </c>
      <c r="E57" s="159" t="s">
        <v>146</v>
      </c>
      <c r="F57" s="159" t="s">
        <v>147</v>
      </c>
      <c r="G57" s="159"/>
      <c r="H57" s="1618" t="s">
        <v>483</v>
      </c>
      <c r="I57" s="1618"/>
    </row>
    <row r="58" spans="2:9" ht="13.5" thickBot="1">
      <c r="B58" s="140" t="s">
        <v>504</v>
      </c>
      <c r="C58" s="160" t="s">
        <v>249</v>
      </c>
      <c r="D58" s="160" t="s">
        <v>249</v>
      </c>
      <c r="E58" s="160" t="s">
        <v>249</v>
      </c>
      <c r="F58" s="160" t="s">
        <v>249</v>
      </c>
      <c r="G58" s="160"/>
      <c r="H58" s="1619" t="s">
        <v>249</v>
      </c>
      <c r="I58" s="1619"/>
    </row>
    <row r="59" spans="2:9">
      <c r="B59" s="195"/>
      <c r="C59" s="1614" t="s">
        <v>729</v>
      </c>
      <c r="D59" s="1614"/>
      <c r="E59" s="1614"/>
      <c r="F59" s="1614"/>
      <c r="G59" s="91"/>
      <c r="H59" s="91"/>
      <c r="I59" s="91"/>
    </row>
    <row r="60" spans="2:9">
      <c r="B60" s="195"/>
      <c r="C60" s="361"/>
      <c r="D60" s="361"/>
      <c r="E60" s="361"/>
      <c r="F60" s="361"/>
      <c r="G60" s="91"/>
      <c r="H60" s="91"/>
      <c r="I60" s="91"/>
    </row>
    <row r="61" spans="2:9">
      <c r="B61" s="288" t="s">
        <v>607</v>
      </c>
      <c r="C61" s="289"/>
      <c r="D61" s="290">
        <f>Yields!G18</f>
        <v>2533.3333333333335</v>
      </c>
      <c r="E61" s="289" t="s">
        <v>605</v>
      </c>
      <c r="F61" s="136"/>
      <c r="G61" s="136"/>
      <c r="H61" s="136"/>
    </row>
    <row r="62" spans="2:9">
      <c r="B62" s="288"/>
      <c r="C62" s="289"/>
      <c r="D62" s="290"/>
      <c r="E62" s="289"/>
      <c r="F62" s="136"/>
      <c r="G62" s="136"/>
      <c r="H62" s="136"/>
    </row>
    <row r="63" spans="2:9">
      <c r="B63" t="s">
        <v>79</v>
      </c>
      <c r="C63" s="136">
        <f>SummaryCosts!B54</f>
        <v>10.399999999999999</v>
      </c>
      <c r="D63" s="136">
        <f>SummaryCosts!C54</f>
        <v>8272.8333333333339</v>
      </c>
      <c r="E63" s="136">
        <f>SummaryCosts!D54</f>
        <v>336.54120000000006</v>
      </c>
      <c r="F63" s="136">
        <f>SUM(C63:E63)</f>
        <v>8619.7745333333332</v>
      </c>
      <c r="G63" s="136"/>
      <c r="H63" s="161"/>
      <c r="I63" s="74"/>
    </row>
    <row r="64" spans="2:9">
      <c r="B64" t="s">
        <v>69</v>
      </c>
      <c r="C64" s="136">
        <f>SummaryCosts!B55</f>
        <v>12.563014973415999</v>
      </c>
      <c r="D64" s="136">
        <f>SummaryCosts!C55</f>
        <v>131</v>
      </c>
      <c r="E64" s="136">
        <f>SummaryCosts!D55</f>
        <v>197.46909766153848</v>
      </c>
      <c r="F64" s="136">
        <f t="shared" ref="F64:F76" si="3">SUM(C64:E64)</f>
        <v>341.0321126349545</v>
      </c>
      <c r="G64" s="136"/>
      <c r="H64" s="162"/>
      <c r="I64" s="139"/>
    </row>
    <row r="65" spans="2:9">
      <c r="B65" t="s">
        <v>84</v>
      </c>
      <c r="C65" s="136">
        <f>SummaryCosts!B56</f>
        <v>84.277849697229996</v>
      </c>
      <c r="D65" s="136">
        <f>SummaryCosts!C56</f>
        <v>141.59061730994532</v>
      </c>
      <c r="E65" s="136">
        <f>SummaryCosts!D56</f>
        <v>110.19094984615387</v>
      </c>
      <c r="F65" s="136">
        <f t="shared" si="3"/>
        <v>336.05941685332914</v>
      </c>
      <c r="G65" s="136"/>
      <c r="H65" s="162"/>
      <c r="I65" s="139"/>
    </row>
    <row r="66" spans="2:9">
      <c r="B66" t="s">
        <v>57</v>
      </c>
      <c r="C66" s="136">
        <f>SummaryCosts!B57</f>
        <v>64.177213626832</v>
      </c>
      <c r="D66" s="136">
        <f>SummaryCosts!C57</f>
        <v>295.5</v>
      </c>
      <c r="E66" s="136">
        <f>SummaryCosts!D57</f>
        <v>29.669010707692312</v>
      </c>
      <c r="F66" s="136">
        <f t="shared" si="3"/>
        <v>389.34622433452432</v>
      </c>
      <c r="G66" s="136"/>
      <c r="H66" s="162"/>
      <c r="I66" s="139"/>
    </row>
    <row r="67" spans="2:9">
      <c r="B67" t="s">
        <v>28</v>
      </c>
      <c r="C67" s="136">
        <f>SummaryCosts!B58</f>
        <v>580.80689820655277</v>
      </c>
      <c r="D67" s="136">
        <f>SummaryCosts!C58</f>
        <v>428.11584865497264</v>
      </c>
      <c r="E67" s="136">
        <f>SummaryCosts!D58</f>
        <v>72.762944492307696</v>
      </c>
      <c r="F67" s="136">
        <f t="shared" si="3"/>
        <v>1081.6856913538331</v>
      </c>
      <c r="G67" s="136"/>
      <c r="H67" s="162"/>
      <c r="I67" s="139"/>
    </row>
    <row r="68" spans="2:9">
      <c r="B68" t="s">
        <v>105</v>
      </c>
      <c r="C68" s="136">
        <f>SummaryCosts!B59</f>
        <v>844.72507642249025</v>
      </c>
      <c r="D68" s="136">
        <f>SummaryCosts!C59</f>
        <v>524.46</v>
      </c>
      <c r="E68" s="136">
        <f>SummaryCosts!D59</f>
        <v>3783.3284741811967</v>
      </c>
      <c r="F68" s="136">
        <f t="shared" si="3"/>
        <v>5152.5135506036868</v>
      </c>
      <c r="G68" s="136"/>
      <c r="H68" s="162"/>
      <c r="I68" s="139"/>
    </row>
    <row r="69" spans="2:9">
      <c r="B69" t="s">
        <v>108</v>
      </c>
      <c r="C69" s="136">
        <f>SummaryCosts!B60</f>
        <v>951.12156557645937</v>
      </c>
      <c r="D69" s="136">
        <f>SummaryCosts!C60</f>
        <v>104.11584865497267</v>
      </c>
      <c r="E69" s="136">
        <f>SummaryCosts!D60</f>
        <v>4024.28619725812</v>
      </c>
      <c r="F69" s="136">
        <f t="shared" si="3"/>
        <v>5079.5236114895524</v>
      </c>
      <c r="G69" s="136"/>
      <c r="H69" s="162"/>
      <c r="I69" s="139"/>
    </row>
    <row r="70" spans="2:9">
      <c r="B70" t="s">
        <v>110</v>
      </c>
      <c r="C70" s="136">
        <f>SummaryCosts!B61</f>
        <v>842.95681996287794</v>
      </c>
      <c r="D70" s="136">
        <f>SummaryCosts!C61</f>
        <v>206</v>
      </c>
      <c r="E70" s="136">
        <f>SummaryCosts!D61</f>
        <v>4778.5441811965811</v>
      </c>
      <c r="F70" s="136">
        <f t="shared" si="3"/>
        <v>5827.5010011594586</v>
      </c>
      <c r="G70" s="136"/>
      <c r="H70" s="162"/>
      <c r="I70" s="139"/>
    </row>
    <row r="71" spans="2:9">
      <c r="B71" t="s">
        <v>112</v>
      </c>
      <c r="C71" s="136">
        <f>SummaryCosts!B62</f>
        <v>10.404999999999999</v>
      </c>
      <c r="D71" s="136">
        <f>SummaryCosts!C62</f>
        <v>206</v>
      </c>
      <c r="E71" s="136">
        <f>SummaryCosts!D62</f>
        <v>847.4923076923078</v>
      </c>
      <c r="F71" s="136">
        <f t="shared" si="3"/>
        <v>1063.8973076923078</v>
      </c>
      <c r="G71" s="136"/>
      <c r="H71" s="162"/>
      <c r="I71" s="139"/>
    </row>
    <row r="72" spans="2:9">
      <c r="B72" t="s">
        <v>27</v>
      </c>
      <c r="C72" s="136">
        <f>SummaryCosts!B63</f>
        <v>0</v>
      </c>
      <c r="D72" s="136">
        <f>SummaryCosts!C63</f>
        <v>6</v>
      </c>
      <c r="E72" s="136">
        <f>SummaryCosts!D63</f>
        <v>0</v>
      </c>
      <c r="F72" s="136">
        <f t="shared" si="3"/>
        <v>6</v>
      </c>
      <c r="G72" s="136"/>
      <c r="H72" s="162"/>
      <c r="I72" s="139"/>
    </row>
    <row r="73" spans="2:9">
      <c r="B73" t="s">
        <v>0</v>
      </c>
      <c r="C73" s="136">
        <f>SummaryCosts!B64</f>
        <v>5.873084638191</v>
      </c>
      <c r="D73" s="136">
        <f>SummaryCosts!C64</f>
        <v>9.52</v>
      </c>
      <c r="E73" s="136">
        <f>SummaryCosts!D64</f>
        <v>173.73931304615385</v>
      </c>
      <c r="F73" s="136">
        <f t="shared" si="3"/>
        <v>189.13239768434485</v>
      </c>
      <c r="G73" s="136"/>
      <c r="H73" s="162"/>
      <c r="I73" s="139"/>
    </row>
    <row r="74" spans="2:9">
      <c r="B74" t="s">
        <v>3</v>
      </c>
      <c r="C74" s="136">
        <f>SummaryCosts!B65</f>
        <v>11.746169276382</v>
      </c>
      <c r="D74" s="136">
        <f>SummaryCosts!C65</f>
        <v>103.25</v>
      </c>
      <c r="E74" s="136">
        <f>SummaryCosts!D65</f>
        <v>8.4817030153846158</v>
      </c>
      <c r="F74" s="136">
        <f t="shared" si="3"/>
        <v>123.47787229176662</v>
      </c>
      <c r="G74" s="136"/>
      <c r="H74" s="162"/>
      <c r="I74" s="139"/>
    </row>
    <row r="75" spans="2:9">
      <c r="B75" t="s">
        <v>251</v>
      </c>
      <c r="C75" s="136">
        <f>SummaryCosts!B66</f>
        <v>0</v>
      </c>
      <c r="D75" s="136">
        <f>SummaryCosts!C66</f>
        <v>1022.04</v>
      </c>
      <c r="E75" s="136">
        <f>SummaryCosts!D66</f>
        <v>0</v>
      </c>
      <c r="F75" s="136">
        <f t="shared" si="3"/>
        <v>1022.04</v>
      </c>
      <c r="G75" s="136"/>
      <c r="H75" s="162"/>
      <c r="I75" s="139"/>
    </row>
    <row r="76" spans="2:9">
      <c r="B76" t="s">
        <v>259</v>
      </c>
      <c r="C76" s="136">
        <f>SummaryCosts!B67</f>
        <v>78.2</v>
      </c>
      <c r="D76" s="136">
        <f>SummaryCosts!C67</f>
        <v>70</v>
      </c>
      <c r="E76" s="136">
        <f>SummaryCosts!D67</f>
        <v>50.849538461538472</v>
      </c>
      <c r="F76" s="136">
        <f t="shared" si="3"/>
        <v>199.04953846153848</v>
      </c>
      <c r="G76" s="136"/>
      <c r="H76" s="162"/>
      <c r="I76" s="139"/>
    </row>
    <row r="77" spans="2:9" ht="30" customHeight="1">
      <c r="B77" s="265" t="s">
        <v>552</v>
      </c>
      <c r="C77" s="163">
        <f>SUM(C63:C76)</f>
        <v>3497.2526923804312</v>
      </c>
      <c r="D77" s="163">
        <f>SUM(D63:D76)</f>
        <v>11520.425647953223</v>
      </c>
      <c r="E77" s="163">
        <f>SUM(E63:E76)</f>
        <v>14413.354917558974</v>
      </c>
      <c r="F77" s="163">
        <f>SUM(F63:F76)</f>
        <v>29431.033257892628</v>
      </c>
      <c r="G77" s="136"/>
      <c r="H77" s="162"/>
      <c r="I77" s="74"/>
    </row>
    <row r="78" spans="2:9" ht="13.5" thickBot="1">
      <c r="B78" s="140"/>
      <c r="C78" s="165"/>
      <c r="D78" s="165"/>
      <c r="E78" s="165"/>
      <c r="F78" s="165"/>
      <c r="G78" s="165"/>
      <c r="H78" s="165"/>
      <c r="I78" s="140"/>
    </row>
  </sheetData>
  <sheetProtection password="A5F1" sheet="1" objects="1" scenarios="1"/>
  <mergeCells count="7">
    <mergeCell ref="C59:F59"/>
    <mergeCell ref="B1:I1"/>
    <mergeCell ref="H3:I3"/>
    <mergeCell ref="H4:I4"/>
    <mergeCell ref="H57:I57"/>
    <mergeCell ref="H58:I58"/>
    <mergeCell ref="C5:F5"/>
  </mergeCell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sheetPr enableFormatConditionsCalculation="0">
    <tabColor rgb="FF7030A0"/>
  </sheetPr>
  <dimension ref="B1:J43"/>
  <sheetViews>
    <sheetView zoomScale="125" zoomScaleNormal="125" workbookViewId="0">
      <selection activeCell="G57" sqref="G57"/>
    </sheetView>
  </sheetViews>
  <sheetFormatPr defaultColWidth="8.85546875" defaultRowHeight="12.75"/>
  <cols>
    <col min="2" max="2" width="17.7109375" customWidth="1"/>
    <col min="3" max="3" width="10.7109375" customWidth="1"/>
    <col min="4" max="4" width="2.7109375" customWidth="1"/>
    <col min="6" max="6" width="4.7109375" customWidth="1"/>
    <col min="7" max="7" width="17.7109375" customWidth="1"/>
    <col min="8" max="8" width="10.7109375" customWidth="1"/>
    <col min="9" max="9" width="2.7109375" customWidth="1"/>
  </cols>
  <sheetData>
    <row r="1" spans="2:10">
      <c r="F1" s="10"/>
    </row>
    <row r="2" spans="2:10">
      <c r="B2" s="1610" t="s">
        <v>546</v>
      </c>
      <c r="C2" s="1610"/>
      <c r="D2" s="1610"/>
      <c r="E2" s="1610"/>
      <c r="F2" s="1610"/>
      <c r="G2" s="1610"/>
      <c r="H2" s="1610"/>
      <c r="I2" s="1610"/>
      <c r="J2" s="1610"/>
    </row>
    <row r="3" spans="2:10" ht="13.5" thickBot="1"/>
    <row r="4" spans="2:10">
      <c r="B4" s="158"/>
      <c r="C4" s="158"/>
      <c r="D4" s="158"/>
      <c r="E4" s="159" t="s">
        <v>507</v>
      </c>
      <c r="F4" s="91"/>
      <c r="G4" s="158"/>
      <c r="H4" s="158"/>
      <c r="I4" s="158"/>
      <c r="J4" s="159" t="s">
        <v>507</v>
      </c>
    </row>
    <row r="5" spans="2:10" ht="13.5" thickBot="1">
      <c r="B5" s="140" t="s">
        <v>504</v>
      </c>
      <c r="C5" s="160" t="s">
        <v>146</v>
      </c>
      <c r="D5" s="160"/>
      <c r="E5" s="160" t="s">
        <v>508</v>
      </c>
      <c r="F5" s="91"/>
      <c r="G5" s="140" t="s">
        <v>504</v>
      </c>
      <c r="H5" s="160" t="s">
        <v>146</v>
      </c>
      <c r="I5" s="160"/>
      <c r="J5" s="160" t="s">
        <v>508</v>
      </c>
    </row>
    <row r="6" spans="2:10" ht="36.75" customHeight="1">
      <c r="C6" s="362" t="s">
        <v>730</v>
      </c>
      <c r="D6" s="10"/>
      <c r="H6" s="362" t="s">
        <v>730</v>
      </c>
      <c r="I6" s="10"/>
    </row>
    <row r="8" spans="2:10">
      <c r="B8" s="1620" t="s">
        <v>505</v>
      </c>
      <c r="C8" s="1620"/>
      <c r="D8" s="1620"/>
      <c r="E8" s="1620"/>
      <c r="G8" s="1620" t="s">
        <v>510</v>
      </c>
      <c r="H8" s="1620"/>
      <c r="I8" s="1620"/>
      <c r="J8" s="1620"/>
    </row>
    <row r="9" spans="2:10">
      <c r="B9" t="s">
        <v>79</v>
      </c>
      <c r="C9" s="6">
        <f>SummaryCosts!H6</f>
        <v>0</v>
      </c>
      <c r="D9" s="166"/>
      <c r="E9" s="74"/>
      <c r="F9" s="195"/>
      <c r="G9" t="s">
        <v>79</v>
      </c>
      <c r="H9" s="6">
        <f>SummaryCosts!H36</f>
        <v>6.8</v>
      </c>
      <c r="I9" s="166"/>
      <c r="J9" s="74"/>
    </row>
    <row r="10" spans="2:10">
      <c r="B10" t="s">
        <v>69</v>
      </c>
      <c r="C10" s="6">
        <f>SummaryCosts!H7</f>
        <v>4.8</v>
      </c>
      <c r="D10" s="166"/>
      <c r="E10" s="139"/>
      <c r="F10" s="195"/>
      <c r="G10" t="s">
        <v>69</v>
      </c>
      <c r="H10" s="6">
        <f>SummaryCosts!H37</f>
        <v>36.500399999999999</v>
      </c>
      <c r="I10" s="166"/>
      <c r="J10" s="139"/>
    </row>
    <row r="11" spans="2:10">
      <c r="B11" t="s">
        <v>84</v>
      </c>
      <c r="C11" s="6">
        <f>SummaryCosts!H8</f>
        <v>0</v>
      </c>
      <c r="D11" s="166"/>
      <c r="E11" s="139"/>
      <c r="F11" s="195"/>
      <c r="G11" t="s">
        <v>84</v>
      </c>
      <c r="H11" s="6">
        <f>SummaryCosts!H38</f>
        <v>93.001999999999995</v>
      </c>
      <c r="I11" s="166"/>
      <c r="J11" s="139"/>
    </row>
    <row r="12" spans="2:10">
      <c r="B12" t="s">
        <v>57</v>
      </c>
      <c r="C12" s="6">
        <f>SummaryCosts!H9</f>
        <v>1</v>
      </c>
      <c r="D12" s="166"/>
      <c r="E12" s="139"/>
      <c r="F12" s="195"/>
      <c r="G12" t="s">
        <v>57</v>
      </c>
      <c r="H12" s="6">
        <f>SummaryCosts!H39</f>
        <v>3.2399304347826083</v>
      </c>
      <c r="I12" s="166"/>
      <c r="J12" s="139"/>
    </row>
    <row r="13" spans="2:10">
      <c r="B13" t="s">
        <v>28</v>
      </c>
      <c r="C13" s="6">
        <f>SummaryCosts!H10</f>
        <v>27.320400000000003</v>
      </c>
      <c r="D13" s="166"/>
      <c r="E13" s="139"/>
      <c r="F13" s="195"/>
      <c r="G13" t="s">
        <v>28</v>
      </c>
      <c r="H13" s="6">
        <f>SummaryCosts!H40</f>
        <v>8.6015999999999995</v>
      </c>
      <c r="I13" s="166"/>
      <c r="J13" s="139"/>
    </row>
    <row r="14" spans="2:10">
      <c r="B14" t="s">
        <v>105</v>
      </c>
      <c r="C14" s="6">
        <f>SummaryCosts!H11</f>
        <v>0.375</v>
      </c>
      <c r="D14" s="166"/>
      <c r="E14" s="139"/>
      <c r="F14" s="195"/>
      <c r="G14" t="s">
        <v>511</v>
      </c>
      <c r="H14" s="6">
        <f>SummaryCosts!H41</f>
        <v>40.361200000000004</v>
      </c>
      <c r="I14" s="166"/>
      <c r="J14" s="139"/>
    </row>
    <row r="15" spans="2:10">
      <c r="B15" t="s">
        <v>108</v>
      </c>
      <c r="C15" s="6">
        <f>SummaryCosts!H12</f>
        <v>0.375</v>
      </c>
      <c r="D15" s="166"/>
      <c r="E15" s="139"/>
      <c r="F15" s="195"/>
      <c r="G15" t="s">
        <v>512</v>
      </c>
      <c r="H15" s="6">
        <f>SummaryCosts!H42</f>
        <v>68.711199999999991</v>
      </c>
      <c r="I15" s="166"/>
      <c r="J15" s="139"/>
    </row>
    <row r="16" spans="2:10">
      <c r="B16" t="s">
        <v>110</v>
      </c>
      <c r="C16" s="6">
        <f>SummaryCosts!H13</f>
        <v>0.375</v>
      </c>
      <c r="D16" s="166"/>
      <c r="E16" s="139"/>
      <c r="F16" s="195"/>
      <c r="G16" t="s">
        <v>513</v>
      </c>
      <c r="H16" s="6">
        <f>SummaryCosts!H43</f>
        <v>155.44999999999999</v>
      </c>
      <c r="I16" s="166"/>
      <c r="J16" s="139"/>
    </row>
    <row r="17" spans="2:10">
      <c r="B17" t="s">
        <v>112</v>
      </c>
      <c r="C17" s="6">
        <f>SummaryCosts!H14</f>
        <v>0.375</v>
      </c>
      <c r="D17" s="166"/>
      <c r="E17" s="139"/>
      <c r="F17" s="195"/>
      <c r="G17" t="s">
        <v>112</v>
      </c>
      <c r="H17" s="6">
        <f>SummaryCosts!H44</f>
        <v>100</v>
      </c>
      <c r="I17" s="166"/>
      <c r="J17" s="139"/>
    </row>
    <row r="18" spans="2:10">
      <c r="B18" t="s">
        <v>27</v>
      </c>
      <c r="C18" s="6">
        <f>SummaryCosts!H15</f>
        <v>0</v>
      </c>
      <c r="D18" s="166"/>
      <c r="E18" s="139"/>
      <c r="F18" s="195"/>
      <c r="G18" t="s">
        <v>27</v>
      </c>
      <c r="H18" s="6">
        <f>SummaryCosts!H45</f>
        <v>0</v>
      </c>
      <c r="I18" s="166"/>
      <c r="J18" s="139"/>
    </row>
    <row r="19" spans="2:10">
      <c r="B19" t="s">
        <v>0</v>
      </c>
      <c r="C19" s="6">
        <f>SummaryCosts!H16</f>
        <v>0</v>
      </c>
      <c r="D19" s="166"/>
      <c r="E19" s="139"/>
      <c r="F19" s="195"/>
      <c r="G19" t="s">
        <v>0</v>
      </c>
      <c r="H19" s="6">
        <f>SummaryCosts!H46</f>
        <v>20.500399999999999</v>
      </c>
      <c r="I19" s="166"/>
      <c r="J19" s="139"/>
    </row>
    <row r="20" spans="2:10">
      <c r="B20" t="s">
        <v>3</v>
      </c>
      <c r="C20" s="6">
        <f>SummaryCosts!H17</f>
        <v>166.25</v>
      </c>
      <c r="D20" s="166"/>
      <c r="E20" s="139"/>
      <c r="F20" s="195"/>
      <c r="G20" t="s">
        <v>3</v>
      </c>
      <c r="H20" s="6">
        <f>SummaryCosts!H47</f>
        <v>1.0007999999999999</v>
      </c>
      <c r="I20" s="166"/>
      <c r="J20" s="139"/>
    </row>
    <row r="21" spans="2:10">
      <c r="B21" t="s">
        <v>509</v>
      </c>
      <c r="C21" s="6">
        <f>SummaryCosts!H18</f>
        <v>2.4</v>
      </c>
      <c r="D21" s="166"/>
      <c r="E21" s="139"/>
      <c r="F21" s="195"/>
      <c r="G21" t="s">
        <v>509</v>
      </c>
      <c r="H21" s="6">
        <f>SummaryCosts!H48</f>
        <v>6</v>
      </c>
      <c r="I21" s="166"/>
      <c r="J21" s="139"/>
    </row>
    <row r="22" spans="2:10">
      <c r="B22" s="137" t="s">
        <v>255</v>
      </c>
      <c r="C22" s="318">
        <f>SUM(C8:C21)</f>
        <v>203.27040000000002</v>
      </c>
      <c r="D22" s="166"/>
      <c r="E22" s="139"/>
      <c r="F22" s="195"/>
      <c r="G22" s="137" t="s">
        <v>257</v>
      </c>
      <c r="H22" s="318">
        <f>SUM(H9:H21)</f>
        <v>540.16753043478263</v>
      </c>
      <c r="I22" s="166"/>
      <c r="J22" s="139"/>
    </row>
    <row r="24" spans="2:10">
      <c r="B24" s="1620" t="s">
        <v>506</v>
      </c>
      <c r="C24" s="1620"/>
      <c r="D24" s="1620"/>
      <c r="E24" s="1620"/>
      <c r="G24" s="1621" t="s">
        <v>564</v>
      </c>
      <c r="H24" s="1620"/>
      <c r="I24" s="1620"/>
      <c r="J24" s="1620"/>
    </row>
    <row r="25" spans="2:10">
      <c r="B25" t="s">
        <v>79</v>
      </c>
      <c r="C25" s="6">
        <f>SummaryCosts!H21</f>
        <v>0</v>
      </c>
      <c r="D25" s="166"/>
      <c r="E25" s="74"/>
      <c r="F25" s="195"/>
      <c r="G25" t="s">
        <v>79</v>
      </c>
      <c r="H25" s="6">
        <f>SummaryCosts!H51</f>
        <v>38</v>
      </c>
      <c r="I25" s="166"/>
      <c r="J25" s="74"/>
    </row>
    <row r="26" spans="2:10">
      <c r="B26" t="s">
        <v>69</v>
      </c>
      <c r="C26" s="6">
        <f>SummaryCosts!H22</f>
        <v>9.8000000000000007</v>
      </c>
      <c r="D26" s="166"/>
      <c r="E26" s="139"/>
      <c r="F26" s="195"/>
      <c r="G26" t="s">
        <v>69</v>
      </c>
      <c r="H26" s="6">
        <f>SummaryCosts!H52</f>
        <v>23.3004</v>
      </c>
      <c r="I26" s="166"/>
      <c r="J26" s="139"/>
    </row>
    <row r="27" spans="2:10">
      <c r="B27" t="s">
        <v>84</v>
      </c>
      <c r="C27" s="6">
        <f>SummaryCosts!H23</f>
        <v>49.2</v>
      </c>
      <c r="D27" s="166"/>
      <c r="E27" s="139"/>
      <c r="F27" s="195"/>
      <c r="G27" t="s">
        <v>84</v>
      </c>
      <c r="H27" s="6">
        <f>SummaryCosts!H53</f>
        <v>13.001999999999999</v>
      </c>
      <c r="I27" s="166"/>
      <c r="J27" s="139"/>
    </row>
    <row r="28" spans="2:10">
      <c r="B28" t="s">
        <v>57</v>
      </c>
      <c r="C28" s="6">
        <f>SummaryCosts!H24</f>
        <v>120.39999999999999</v>
      </c>
      <c r="D28" s="166"/>
      <c r="E28" s="139"/>
      <c r="F28" s="195"/>
      <c r="G28" t="s">
        <v>57</v>
      </c>
      <c r="H28" s="6">
        <f>SummaryCosts!H54</f>
        <v>3.5007999999999999</v>
      </c>
      <c r="I28" s="166"/>
      <c r="J28" s="139"/>
    </row>
    <row r="29" spans="2:10">
      <c r="B29" t="s">
        <v>28</v>
      </c>
      <c r="C29" s="6">
        <f>SummaryCosts!H25</f>
        <v>5.0999999999999996</v>
      </c>
      <c r="D29" s="166"/>
      <c r="E29" s="139"/>
      <c r="F29" s="195"/>
      <c r="G29" t="s">
        <v>28</v>
      </c>
      <c r="H29" s="6">
        <f>SummaryCosts!H55</f>
        <v>8.6015999999999995</v>
      </c>
      <c r="I29" s="166"/>
      <c r="J29" s="139"/>
    </row>
    <row r="30" spans="2:10">
      <c r="B30" t="s">
        <v>105</v>
      </c>
      <c r="C30" s="6">
        <f>SummaryCosts!H26</f>
        <v>4.5999999999999996</v>
      </c>
      <c r="D30" s="166"/>
      <c r="E30" s="139"/>
      <c r="F30" s="195"/>
      <c r="G30" t="s">
        <v>511</v>
      </c>
      <c r="H30" s="6">
        <f>SummaryCosts!H56</f>
        <v>40.361200000000004</v>
      </c>
      <c r="I30" s="166"/>
      <c r="J30" s="139"/>
    </row>
    <row r="31" spans="2:10">
      <c r="B31" t="s">
        <v>108</v>
      </c>
      <c r="C31" s="6">
        <f>SummaryCosts!H27</f>
        <v>6.2</v>
      </c>
      <c r="D31" s="166"/>
      <c r="E31" s="139"/>
      <c r="F31" s="195"/>
      <c r="G31" t="s">
        <v>512</v>
      </c>
      <c r="H31" s="6">
        <f>SummaryCosts!H57</f>
        <v>68.761200000000002</v>
      </c>
      <c r="I31" s="166"/>
      <c r="J31" s="139"/>
    </row>
    <row r="32" spans="2:10">
      <c r="B32" t="s">
        <v>110</v>
      </c>
      <c r="C32" s="6">
        <f>SummaryCosts!H28</f>
        <v>104.6</v>
      </c>
      <c r="D32" s="166"/>
      <c r="E32" s="139"/>
      <c r="F32" s="195"/>
      <c r="G32" t="s">
        <v>513</v>
      </c>
      <c r="H32" s="6">
        <f>SummaryCosts!H58</f>
        <v>157.76</v>
      </c>
      <c r="I32" s="166"/>
      <c r="J32" s="139"/>
    </row>
    <row r="33" spans="2:10">
      <c r="B33" t="s">
        <v>112</v>
      </c>
      <c r="C33" s="6">
        <f>SummaryCosts!H29</f>
        <v>101.10039999999999</v>
      </c>
      <c r="D33" s="166"/>
      <c r="E33" s="139"/>
      <c r="F33" s="195"/>
      <c r="G33" t="s">
        <v>112</v>
      </c>
      <c r="H33" s="6">
        <f>SummaryCosts!H59</f>
        <v>100</v>
      </c>
      <c r="I33" s="166"/>
      <c r="J33" s="139"/>
    </row>
    <row r="34" spans="2:10">
      <c r="B34" t="s">
        <v>27</v>
      </c>
      <c r="C34" s="6">
        <f>SummaryCosts!H30</f>
        <v>0</v>
      </c>
      <c r="D34" s="166"/>
      <c r="E34" s="139"/>
      <c r="F34" s="195"/>
      <c r="G34" t="s">
        <v>27</v>
      </c>
      <c r="H34" s="6">
        <f>SummaryCosts!H60</f>
        <v>0</v>
      </c>
      <c r="I34" s="166"/>
      <c r="J34" s="139"/>
    </row>
    <row r="35" spans="2:10">
      <c r="B35" t="s">
        <v>0</v>
      </c>
      <c r="C35" s="6">
        <f>SummaryCosts!H31</f>
        <v>0</v>
      </c>
      <c r="D35" s="166"/>
      <c r="E35" s="139"/>
      <c r="F35" s="195"/>
      <c r="G35" t="s">
        <v>0</v>
      </c>
      <c r="H35" s="6">
        <f>SummaryCosts!H61</f>
        <v>20.500399999999999</v>
      </c>
      <c r="I35" s="166"/>
      <c r="J35" s="139"/>
    </row>
    <row r="36" spans="2:10">
      <c r="B36" t="s">
        <v>3</v>
      </c>
      <c r="C36" s="6">
        <f>SummaryCosts!H32</f>
        <v>0</v>
      </c>
      <c r="D36" s="166"/>
      <c r="E36" s="139"/>
      <c r="F36" s="195"/>
      <c r="G36" t="s">
        <v>3</v>
      </c>
      <c r="H36" s="6">
        <f>SummaryCosts!H62</f>
        <v>1.0007999999999999</v>
      </c>
      <c r="I36" s="166"/>
      <c r="J36" s="139"/>
    </row>
    <row r="37" spans="2:10">
      <c r="B37" t="s">
        <v>509</v>
      </c>
      <c r="C37" s="6">
        <f>SummaryCosts!H33</f>
        <v>6</v>
      </c>
      <c r="D37" s="166"/>
      <c r="E37" s="139"/>
      <c r="F37" s="195"/>
      <c r="G37" t="s">
        <v>509</v>
      </c>
      <c r="H37" s="6">
        <f>SummaryCosts!H63</f>
        <v>6</v>
      </c>
      <c r="I37" s="166"/>
      <c r="J37" s="139"/>
    </row>
    <row r="38" spans="2:10" ht="30" customHeight="1">
      <c r="B38" s="137" t="s">
        <v>256</v>
      </c>
      <c r="C38" s="318">
        <f>SUM(C25:C37)</f>
        <v>407.00039999999996</v>
      </c>
      <c r="D38" s="166"/>
      <c r="E38" s="139"/>
      <c r="F38" s="195"/>
      <c r="G38" s="265" t="s">
        <v>552</v>
      </c>
      <c r="H38" s="318">
        <f>SUM(H25:H37)</f>
        <v>480.78840000000002</v>
      </c>
      <c r="I38" s="166"/>
      <c r="J38" s="139"/>
    </row>
    <row r="39" spans="2:10" ht="13.5" thickBot="1">
      <c r="B39" s="140"/>
      <c r="C39" s="140"/>
      <c r="D39" s="140"/>
      <c r="E39" s="140"/>
      <c r="F39" s="140"/>
      <c r="G39" s="140"/>
      <c r="H39" s="140"/>
      <c r="I39" s="140"/>
      <c r="J39" s="140"/>
    </row>
    <row r="41" spans="2:10">
      <c r="B41" s="11" t="s">
        <v>664</v>
      </c>
    </row>
    <row r="42" spans="2:10">
      <c r="B42" s="11" t="s">
        <v>665</v>
      </c>
    </row>
    <row r="43" spans="2:10">
      <c r="B43" s="11" t="s">
        <v>7</v>
      </c>
    </row>
  </sheetData>
  <sheetProtection password="A5F1" sheet="1" objects="1" scenarios="1"/>
  <mergeCells count="5">
    <mergeCell ref="B8:E8"/>
    <mergeCell ref="G8:J8"/>
    <mergeCell ref="B24:E24"/>
    <mergeCell ref="G24:J24"/>
    <mergeCell ref="B2:J2"/>
  </mergeCells>
  <pageMargins left="1.02" right="0.2" top="0.75" bottom="0.75" header="0.3" footer="0.3"/>
  <pageSetup orientation="portrait"/>
</worksheet>
</file>

<file path=xl/worksheets/sheet9.xml><?xml version="1.0" encoding="utf-8"?>
<worksheet xmlns="http://schemas.openxmlformats.org/spreadsheetml/2006/main" xmlns:r="http://schemas.openxmlformats.org/officeDocument/2006/relationships">
  <sheetPr enableFormatConditionsCalculation="0">
    <tabColor rgb="FF7030A0"/>
  </sheetPr>
  <dimension ref="A1:J48"/>
  <sheetViews>
    <sheetView zoomScale="125" zoomScaleNormal="125" workbookViewId="0">
      <selection activeCell="G57" sqref="G57"/>
    </sheetView>
  </sheetViews>
  <sheetFormatPr defaultColWidth="8.85546875" defaultRowHeight="12.75"/>
  <cols>
    <col min="1" max="1" width="10.140625" bestFit="1" customWidth="1"/>
    <col min="2" max="2" width="10.7109375" customWidth="1"/>
    <col min="4" max="4" width="9.7109375" customWidth="1"/>
  </cols>
  <sheetData>
    <row r="1" spans="1:10">
      <c r="A1" s="1610" t="s">
        <v>731</v>
      </c>
      <c r="B1" s="1610"/>
      <c r="C1" s="1610"/>
      <c r="D1" s="1610"/>
      <c r="E1" s="1610"/>
      <c r="F1" s="1610"/>
      <c r="G1" s="1610"/>
      <c r="H1" s="1610"/>
    </row>
    <row r="2" spans="1:10">
      <c r="A2" s="1610" t="s">
        <v>734</v>
      </c>
      <c r="B2" s="1610"/>
      <c r="C2" s="1610"/>
      <c r="D2" s="1610"/>
      <c r="E2" s="1610"/>
      <c r="F2" s="1610"/>
      <c r="G2" s="1610"/>
      <c r="H2" s="1610"/>
    </row>
    <row r="4" spans="1:10" ht="39" customHeight="1">
      <c r="B4" s="203" t="s">
        <v>397</v>
      </c>
      <c r="C4" s="1625" t="s">
        <v>514</v>
      </c>
      <c r="D4" s="1625"/>
      <c r="E4" s="1625"/>
      <c r="F4" s="1625"/>
      <c r="G4" s="1625"/>
    </row>
    <row r="5" spans="1:10">
      <c r="B5" s="204" t="s">
        <v>7</v>
      </c>
      <c r="C5" s="218">
        <f>SensitivityAnalysis!L6</f>
        <v>1621.3336575999999</v>
      </c>
      <c r="D5" s="219">
        <f>SensitivityAnalysis!M6</f>
        <v>2026.6667071999998</v>
      </c>
      <c r="E5" s="220">
        <f>SensitivityAnalysis!N6</f>
        <v>2533.3338400000002</v>
      </c>
      <c r="F5" s="219">
        <f>SensitivityAnalysis!O6</f>
        <v>3040.0006079999998</v>
      </c>
      <c r="G5" s="221">
        <f>SensitivityAnalysis!P6</f>
        <v>3648.0007295999999</v>
      </c>
    </row>
    <row r="6" spans="1:10">
      <c r="B6" s="213">
        <f>SensitivityAnalysis!K7</f>
        <v>8.9600000000000009</v>
      </c>
      <c r="C6" s="205">
        <f>SensitivityAnalysis!L7</f>
        <v>-8173.3118857326281</v>
      </c>
      <c r="D6" s="206">
        <f>SensitivityAnalysis!M7</f>
        <v>-7532.881542692623</v>
      </c>
      <c r="E6" s="206">
        <f>SensitivityAnalysis!N7</f>
        <v>-6732.3436138926227</v>
      </c>
      <c r="F6" s="206">
        <f>SensitivityAnalysis!O7</f>
        <v>-5931.8056850926223</v>
      </c>
      <c r="G6" s="207">
        <f>SensitivityAnalysis!P7</f>
        <v>-4971.1601705326248</v>
      </c>
    </row>
    <row r="7" spans="1:10">
      <c r="B7" s="214">
        <f>SensitivityAnalysis!K8</f>
        <v>11.2</v>
      </c>
      <c r="C7" s="208">
        <f>SensitivityAnalysis!L8</f>
        <v>-4541.517955492629</v>
      </c>
      <c r="D7" s="197">
        <f>SensitivityAnalysis!M8</f>
        <v>-2993.1391298926246</v>
      </c>
      <c r="E7" s="197">
        <f>SensitivityAnalysis!N8</f>
        <v>-1057.6655978926246</v>
      </c>
      <c r="F7" s="197">
        <f>SensitivityAnalysis!O8</f>
        <v>877.80793410737533</v>
      </c>
      <c r="G7" s="209">
        <f>SensitivityAnalysis!P8</f>
        <v>3200.3761725073709</v>
      </c>
    </row>
    <row r="8" spans="1:10">
      <c r="B8" s="216">
        <f>SensitivityAnalysis!K9</f>
        <v>14</v>
      </c>
      <c r="C8" s="208">
        <f>SensitivityAnalysis!L9</f>
        <v>-1.7755426926269138</v>
      </c>
      <c r="D8" s="197">
        <f>SensitivityAnalysis!M9</f>
        <v>2681.538886107377</v>
      </c>
      <c r="E8" s="217">
        <f>SensitivityAnalysis!N9</f>
        <v>6035.6819221073747</v>
      </c>
      <c r="F8" s="197">
        <f>SensitivityAnalysis!O9</f>
        <v>9389.824958107376</v>
      </c>
      <c r="G8" s="209">
        <f>SensitivityAnalysis!P9</f>
        <v>13414.796601307375</v>
      </c>
    </row>
    <row r="9" spans="1:10">
      <c r="B9" s="214">
        <f>SensitivityAnalysis!K10</f>
        <v>16.8</v>
      </c>
      <c r="C9" s="208">
        <f>SensitivityAnalysis!L10</f>
        <v>4537.9668701073751</v>
      </c>
      <c r="D9" s="197">
        <f>SensitivityAnalysis!M10</f>
        <v>8356.2169021073787</v>
      </c>
      <c r="E9" s="197">
        <f>SensitivityAnalysis!N10</f>
        <v>13129.029442107378</v>
      </c>
      <c r="F9" s="197">
        <f>SensitivityAnalysis!O10</f>
        <v>17901.841982107377</v>
      </c>
      <c r="G9" s="209">
        <f>SensitivityAnalysis!P10</f>
        <v>23629.217030107378</v>
      </c>
    </row>
    <row r="10" spans="1:10">
      <c r="B10" s="215">
        <f>SensitivityAnalysis!K11</f>
        <v>20.160000000000004</v>
      </c>
      <c r="C10" s="210">
        <f>SensitivityAnalysis!L11</f>
        <v>9985.6577654673783</v>
      </c>
      <c r="D10" s="211">
        <f>SensitivityAnalysis!M11</f>
        <v>15165.830521307384</v>
      </c>
      <c r="E10" s="211">
        <f>SensitivityAnalysis!N11</f>
        <v>21641.046466107386</v>
      </c>
      <c r="F10" s="211">
        <f>SensitivityAnalysis!O11</f>
        <v>28116.262410907388</v>
      </c>
      <c r="G10" s="212">
        <f>SensitivityAnalysis!P11</f>
        <v>35886.521544667383</v>
      </c>
    </row>
    <row r="11" spans="1:10" ht="13.5" thickBot="1">
      <c r="A11" s="196"/>
      <c r="B11" s="202" t="s">
        <v>608</v>
      </c>
      <c r="C11" s="201"/>
      <c r="D11" s="291">
        <f>Yields!G5</f>
        <v>0.8</v>
      </c>
      <c r="E11" s="201" t="s">
        <v>609</v>
      </c>
      <c r="F11" s="201"/>
      <c r="G11" s="201"/>
      <c r="H11" s="196"/>
      <c r="I11" s="196"/>
      <c r="J11" s="195"/>
    </row>
    <row r="13" spans="1:10">
      <c r="A13" s="1610" t="s">
        <v>731</v>
      </c>
      <c r="B13" s="1610"/>
      <c r="C13" s="1610"/>
      <c r="D13" s="1610"/>
      <c r="E13" s="1610"/>
      <c r="F13" s="1610"/>
      <c r="G13" s="1610"/>
      <c r="H13" s="1610"/>
    </row>
    <row r="14" spans="1:10">
      <c r="A14" s="1610" t="s">
        <v>735</v>
      </c>
      <c r="B14" s="1610"/>
      <c r="C14" s="1610"/>
      <c r="D14" s="1610"/>
      <c r="E14" s="1610"/>
      <c r="F14" s="1610"/>
      <c r="G14" s="1610"/>
      <c r="H14" s="1610"/>
    </row>
    <row r="16" spans="1:10" ht="38.25">
      <c r="B16" s="224" t="s">
        <v>281</v>
      </c>
      <c r="C16" s="1627" t="s">
        <v>515</v>
      </c>
      <c r="D16" s="1627"/>
      <c r="E16" s="1627"/>
      <c r="F16" s="1627"/>
      <c r="G16" s="1628"/>
    </row>
    <row r="17" spans="1:10">
      <c r="B17" s="225" t="s">
        <v>7</v>
      </c>
      <c r="C17" s="218">
        <f>SensitivityAnalysis!L17</f>
        <v>9728</v>
      </c>
      <c r="D17" s="219">
        <f>SensitivityAnalysis!M17</f>
        <v>12160</v>
      </c>
      <c r="E17" s="220">
        <f>SensitivityAnalysis!N17</f>
        <v>15200</v>
      </c>
      <c r="F17" s="219">
        <f>SensitivityAnalysis!O17</f>
        <v>18240</v>
      </c>
      <c r="G17" s="221">
        <f>SensitivityAnalysis!P17</f>
        <v>21888</v>
      </c>
    </row>
    <row r="18" spans="1:10">
      <c r="B18" s="226">
        <f>SensitivityAnalysis!K18</f>
        <v>1.4933333333333334</v>
      </c>
      <c r="C18" s="197">
        <f>SensitivityAnalysis!L18</f>
        <v>-8173.3118857326281</v>
      </c>
      <c r="D18" s="197">
        <f>SensitivityAnalysis!M18</f>
        <v>-7532.881542692623</v>
      </c>
      <c r="E18" s="197">
        <f>SensitivityAnalysis!N18</f>
        <v>-6732.3436138926227</v>
      </c>
      <c r="F18" s="197">
        <f>SensitivityAnalysis!O18</f>
        <v>-5931.8056850926223</v>
      </c>
      <c r="G18" s="209">
        <f>SensitivityAnalysis!P18</f>
        <v>-4971.1601705326248</v>
      </c>
    </row>
    <row r="19" spans="1:10">
      <c r="B19" s="226">
        <f>SensitivityAnalysis!K19</f>
        <v>1.8666666666666667</v>
      </c>
      <c r="C19" s="197">
        <f>SensitivityAnalysis!L19</f>
        <v>-4541.517955492629</v>
      </c>
      <c r="D19" s="197">
        <f>SensitivityAnalysis!M19</f>
        <v>-2993.1391298926246</v>
      </c>
      <c r="E19" s="197">
        <f>SensitivityAnalysis!N19</f>
        <v>-1057.6655978926246</v>
      </c>
      <c r="F19" s="197">
        <f>SensitivityAnalysis!O19</f>
        <v>877.80793410737533</v>
      </c>
      <c r="G19" s="209">
        <f>SensitivityAnalysis!P19</f>
        <v>3200.3761725073709</v>
      </c>
    </row>
    <row r="20" spans="1:10">
      <c r="B20" s="228">
        <f>SensitivityAnalysis!K20</f>
        <v>2.3333333333333335</v>
      </c>
      <c r="C20" s="197">
        <f>SensitivityAnalysis!L20</f>
        <v>-1.7755426926269138</v>
      </c>
      <c r="D20" s="197">
        <f>SensitivityAnalysis!M20</f>
        <v>2681.538886107377</v>
      </c>
      <c r="E20" s="217">
        <f>SensitivityAnalysis!N20</f>
        <v>6035.6819221073747</v>
      </c>
      <c r="F20" s="197">
        <f>SensitivityAnalysis!O20</f>
        <v>9389.824958107376</v>
      </c>
      <c r="G20" s="209">
        <f>SensitivityAnalysis!P20</f>
        <v>13414.796601307375</v>
      </c>
    </row>
    <row r="21" spans="1:10">
      <c r="B21" s="226">
        <f>SensitivityAnalysis!K21</f>
        <v>2.8000000000000003</v>
      </c>
      <c r="C21" s="197">
        <f>SensitivityAnalysis!L21</f>
        <v>4537.9668701073751</v>
      </c>
      <c r="D21" s="197">
        <f>SensitivityAnalysis!M21</f>
        <v>8356.2169021073787</v>
      </c>
      <c r="E21" s="197">
        <f>SensitivityAnalysis!N21</f>
        <v>13129.029442107378</v>
      </c>
      <c r="F21" s="197">
        <f>SensitivityAnalysis!O21</f>
        <v>17901.841982107377</v>
      </c>
      <c r="G21" s="209">
        <f>SensitivityAnalysis!P21</f>
        <v>23629.217030107378</v>
      </c>
    </row>
    <row r="22" spans="1:10">
      <c r="B22" s="227">
        <f>SensitivityAnalysis!K22</f>
        <v>3.3600000000000003</v>
      </c>
      <c r="C22" s="211">
        <f>SensitivityAnalysis!L22</f>
        <v>9985.6577654673783</v>
      </c>
      <c r="D22" s="211">
        <f>SensitivityAnalysis!M22</f>
        <v>15165.830521307384</v>
      </c>
      <c r="E22" s="211">
        <f>SensitivityAnalysis!N22</f>
        <v>21641.046466107386</v>
      </c>
      <c r="F22" s="211">
        <f>SensitivityAnalysis!O22</f>
        <v>28116.262410907388</v>
      </c>
      <c r="G22" s="212">
        <f>SensitivityAnalysis!P22</f>
        <v>35886.521544667383</v>
      </c>
    </row>
    <row r="23" spans="1:10" ht="13.5" thickBot="1">
      <c r="A23" s="196"/>
      <c r="B23" s="202" t="s">
        <v>608</v>
      </c>
      <c r="C23" s="201"/>
      <c r="D23" s="291">
        <f>Yields!G5</f>
        <v>0.8</v>
      </c>
      <c r="E23" s="201" t="s">
        <v>609</v>
      </c>
      <c r="F23" s="201"/>
      <c r="G23" s="201"/>
      <c r="H23" s="196"/>
      <c r="I23" s="196"/>
      <c r="J23" s="195"/>
    </row>
    <row r="25" spans="1:10">
      <c r="A25" s="1610" t="s">
        <v>732</v>
      </c>
      <c r="B25" s="1610"/>
      <c r="C25" s="1610"/>
      <c r="D25" s="1610"/>
      <c r="E25" s="1610"/>
      <c r="F25" s="1610"/>
      <c r="G25" s="1610"/>
      <c r="H25" s="1610"/>
      <c r="I25" s="1610"/>
    </row>
    <row r="26" spans="1:10">
      <c r="A26" s="1610" t="s">
        <v>736</v>
      </c>
      <c r="B26" s="1610"/>
      <c r="C26" s="1610"/>
      <c r="D26" s="1610"/>
      <c r="E26" s="1610"/>
      <c r="F26" s="1610"/>
      <c r="G26" s="1610"/>
      <c r="H26" s="1610"/>
      <c r="I26" s="1610"/>
    </row>
    <row r="28" spans="1:10" ht="26.25" customHeight="1">
      <c r="A28" s="241" t="s">
        <v>516</v>
      </c>
      <c r="B28" s="222" t="s">
        <v>306</v>
      </c>
      <c r="C28" s="222" t="s">
        <v>377</v>
      </c>
      <c r="D28" s="1622" t="s">
        <v>149</v>
      </c>
      <c r="E28" s="1623"/>
      <c r="F28" s="1624"/>
      <c r="G28" s="222" t="s">
        <v>517</v>
      </c>
      <c r="H28" s="222" t="s">
        <v>282</v>
      </c>
      <c r="I28" s="223" t="s">
        <v>733</v>
      </c>
    </row>
    <row r="29" spans="1:10">
      <c r="A29" s="242"/>
      <c r="B29" s="74"/>
      <c r="C29" s="74"/>
      <c r="D29" s="244" t="s">
        <v>144</v>
      </c>
      <c r="E29" s="244" t="s">
        <v>145</v>
      </c>
      <c r="F29" s="244" t="s">
        <v>146</v>
      </c>
      <c r="G29" s="74"/>
      <c r="H29" s="74"/>
      <c r="I29" s="243"/>
    </row>
    <row r="30" spans="1:10">
      <c r="A30" s="229" t="s">
        <v>356</v>
      </c>
      <c r="B30" s="230" t="s">
        <v>372</v>
      </c>
      <c r="C30" s="230" t="s">
        <v>518</v>
      </c>
      <c r="D30" s="229" t="s">
        <v>519</v>
      </c>
      <c r="E30" s="230" t="s">
        <v>519</v>
      </c>
      <c r="F30" s="231" t="s">
        <v>519</v>
      </c>
      <c r="G30" s="230" t="s">
        <v>519</v>
      </c>
      <c r="H30" s="230" t="s">
        <v>519</v>
      </c>
      <c r="I30" s="231" t="s">
        <v>519</v>
      </c>
    </row>
    <row r="31" spans="1:10">
      <c r="A31" s="232">
        <f>SensitivityAnalysis!J29</f>
        <v>1621.3365760000002</v>
      </c>
      <c r="B31" s="167">
        <f>SensitivityAnalysis!K29</f>
        <v>8.9600000000000009</v>
      </c>
      <c r="C31" s="167">
        <f>SensitivityAnalysis!L29</f>
        <v>0</v>
      </c>
      <c r="D31" s="237">
        <f>SensitivityAnalysis!M29</f>
        <v>3497.2526923804312</v>
      </c>
      <c r="E31" s="233">
        <f>SensitivityAnalysis!N29</f>
        <v>8665.8757974998916</v>
      </c>
      <c r="F31" s="238">
        <f>SensitivityAnalysis!O29</f>
        <v>10537.368698892307</v>
      </c>
      <c r="G31" s="233">
        <f>SensitivityAnalysis!P29</f>
        <v>22700.497188772628</v>
      </c>
      <c r="H31" s="233">
        <f>SensitivityAnalysis!Q29</f>
        <v>14527.175720960002</v>
      </c>
      <c r="I31" s="209">
        <f>SensitivityAnalysis!R29</f>
        <v>-8173.321467812626</v>
      </c>
    </row>
    <row r="32" spans="1:10">
      <c r="A32" s="232">
        <f>SensitivityAnalysis!J30</f>
        <v>2026.6707200000001</v>
      </c>
      <c r="B32" s="167">
        <f>SensitivityAnalysis!K30</f>
        <v>11.2</v>
      </c>
      <c r="C32" s="167">
        <f>SensitivityAnalysis!L30</f>
        <v>0</v>
      </c>
      <c r="D32" s="237">
        <f>SensitivityAnalysis!M30</f>
        <v>3497.2526923804312</v>
      </c>
      <c r="E32" s="233">
        <f>SensitivityAnalysis!N30</f>
        <v>9934.571668219889</v>
      </c>
      <c r="F32" s="238">
        <f>SensitivityAnalysis!O30</f>
        <v>12260.038810892303</v>
      </c>
      <c r="G32" s="233">
        <f>SensitivityAnalysis!P30</f>
        <v>25691.863171492623</v>
      </c>
      <c r="H32" s="233">
        <f>SensitivityAnalysis!Q30</f>
        <v>22698.712063999999</v>
      </c>
      <c r="I32" s="209">
        <f>SensitivityAnalysis!R30</f>
        <v>-2993.1511074926239</v>
      </c>
    </row>
    <row r="33" spans="1:10">
      <c r="A33" s="247">
        <f>SensitivityAnalysis!J31</f>
        <v>2533.3384000000001</v>
      </c>
      <c r="B33" s="248">
        <f>SensitivityAnalysis!K31</f>
        <v>14</v>
      </c>
      <c r="C33" s="248">
        <f>SensitivityAnalysis!L31</f>
        <v>0</v>
      </c>
      <c r="D33" s="249">
        <f>SensitivityAnalysis!M31</f>
        <v>3497.2526923804312</v>
      </c>
      <c r="E33" s="250">
        <f>SensitivityAnalysis!N31</f>
        <v>11520.441506619889</v>
      </c>
      <c r="F33" s="251">
        <f>SensitivityAnalysis!O31</f>
        <v>14413.376450892305</v>
      </c>
      <c r="G33" s="250">
        <f>SensitivityAnalysis!P31</f>
        <v>29431.070649892623</v>
      </c>
      <c r="H33" s="250">
        <f>SensitivityAnalysis!Q31</f>
        <v>35466.7376</v>
      </c>
      <c r="I33" s="252">
        <f>SensitivityAnalysis!R31</f>
        <v>6035.6669501073775</v>
      </c>
    </row>
    <row r="34" spans="1:10">
      <c r="A34" s="232">
        <f>SensitivityAnalysis!J32</f>
        <v>3040.0060800000001</v>
      </c>
      <c r="B34" s="167">
        <f>SensitivityAnalysis!K32</f>
        <v>16.8</v>
      </c>
      <c r="C34" s="167">
        <f>SensitivityAnalysis!L32</f>
        <v>0</v>
      </c>
      <c r="D34" s="237">
        <f>SensitivityAnalysis!M32</f>
        <v>3497.2526923804312</v>
      </c>
      <c r="E34" s="233">
        <f>SensitivityAnalysis!N32</f>
        <v>13106.311345019891</v>
      </c>
      <c r="F34" s="238">
        <f>SensitivityAnalysis!O32</f>
        <v>16566.714090892307</v>
      </c>
      <c r="G34" s="233">
        <f>SensitivityAnalysis!P32</f>
        <v>33170.27812829263</v>
      </c>
      <c r="H34" s="233">
        <f>SensitivityAnalysis!Q32</f>
        <v>51072.102144000004</v>
      </c>
      <c r="I34" s="209">
        <f>SensitivityAnalysis!R32</f>
        <v>17901.824015707374</v>
      </c>
    </row>
    <row r="35" spans="1:10">
      <c r="A35" s="234">
        <f>SensitivityAnalysis!J33</f>
        <v>3648.0072960000002</v>
      </c>
      <c r="B35" s="235">
        <f>SensitivityAnalysis!K33</f>
        <v>20.160000000000004</v>
      </c>
      <c r="C35" s="235">
        <f>SensitivityAnalysis!L33</f>
        <v>0</v>
      </c>
      <c r="D35" s="239">
        <f>SensitivityAnalysis!M33</f>
        <v>3497.2526923804312</v>
      </c>
      <c r="E35" s="236">
        <f>SensitivityAnalysis!N33</f>
        <v>15009.355151099891</v>
      </c>
      <c r="F35" s="240">
        <f>SensitivityAnalysis!O33</f>
        <v>19150.719258892306</v>
      </c>
      <c r="G35" s="236">
        <f>SensitivityAnalysis!P33</f>
        <v>37657.327102372627</v>
      </c>
      <c r="H35" s="236">
        <f>SensitivityAnalysis!Q33</f>
        <v>73543.827087360012</v>
      </c>
      <c r="I35" s="212">
        <f>SensitivityAnalysis!R33</f>
        <v>35886.499984987386</v>
      </c>
    </row>
    <row r="36" spans="1:10" ht="13.5" thickBot="1">
      <c r="A36" s="198"/>
      <c r="B36" s="199"/>
      <c r="C36" s="199"/>
      <c r="D36" s="198"/>
      <c r="E36" s="198"/>
      <c r="F36" s="198"/>
      <c r="G36" s="198"/>
      <c r="H36" s="198"/>
      <c r="I36" s="200"/>
      <c r="J36" s="195"/>
    </row>
    <row r="37" spans="1:10">
      <c r="A37" s="195"/>
      <c r="B37" s="195"/>
      <c r="C37" s="195"/>
      <c r="D37" s="195"/>
      <c r="E37" s="195"/>
      <c r="F37" s="195"/>
      <c r="G37" s="195"/>
      <c r="H37" s="195"/>
      <c r="I37" s="195"/>
      <c r="J37" s="195"/>
    </row>
    <row r="38" spans="1:10">
      <c r="A38" s="1610" t="s">
        <v>732</v>
      </c>
      <c r="B38" s="1610"/>
      <c r="C38" s="1610"/>
      <c r="D38" s="1610"/>
      <c r="E38" s="1610"/>
      <c r="F38" s="1610"/>
      <c r="G38" s="1610"/>
      <c r="H38" s="1610"/>
      <c r="I38" s="1610"/>
    </row>
    <row r="39" spans="1:10">
      <c r="A39" s="1610" t="s">
        <v>737</v>
      </c>
      <c r="B39" s="1610"/>
      <c r="C39" s="1610"/>
      <c r="D39" s="1610"/>
      <c r="E39" s="1610"/>
      <c r="F39" s="1610"/>
      <c r="G39" s="1610"/>
      <c r="H39" s="1610"/>
      <c r="I39" s="1610"/>
    </row>
    <row r="41" spans="1:10" ht="25.5" customHeight="1">
      <c r="A41" s="241" t="s">
        <v>516</v>
      </c>
      <c r="B41" s="222" t="s">
        <v>306</v>
      </c>
      <c r="C41" s="222" t="s">
        <v>377</v>
      </c>
      <c r="D41" s="1626" t="s">
        <v>149</v>
      </c>
      <c r="E41" s="1627"/>
      <c r="F41" s="1628"/>
      <c r="G41" s="222" t="s">
        <v>520</v>
      </c>
      <c r="H41" s="222" t="s">
        <v>282</v>
      </c>
      <c r="I41" s="223" t="s">
        <v>279</v>
      </c>
    </row>
    <row r="42" spans="1:10">
      <c r="A42" s="242"/>
      <c r="B42" s="74"/>
      <c r="C42" s="74"/>
      <c r="D42" s="244" t="s">
        <v>144</v>
      </c>
      <c r="E42" s="244" t="s">
        <v>145</v>
      </c>
      <c r="F42" s="244" t="s">
        <v>146</v>
      </c>
      <c r="G42" s="74"/>
      <c r="H42" s="74"/>
      <c r="I42" s="243"/>
    </row>
    <row r="43" spans="1:10">
      <c r="A43" s="363" t="s">
        <v>521</v>
      </c>
      <c r="B43" s="364" t="s">
        <v>518</v>
      </c>
      <c r="C43" s="230" t="s">
        <v>518</v>
      </c>
      <c r="D43" s="229" t="s">
        <v>519</v>
      </c>
      <c r="E43" s="230" t="s">
        <v>519</v>
      </c>
      <c r="F43" s="231" t="s">
        <v>519</v>
      </c>
      <c r="G43" s="230" t="s">
        <v>519</v>
      </c>
      <c r="H43" s="230" t="s">
        <v>519</v>
      </c>
      <c r="I43" s="365" t="s">
        <v>519</v>
      </c>
    </row>
    <row r="44" spans="1:10">
      <c r="A44" s="232">
        <f>SensitivityAnalysis!J42</f>
        <v>9728</v>
      </c>
      <c r="B44" s="245">
        <f>SensitivityAnalysis!K42</f>
        <v>1.4933333333333334</v>
      </c>
      <c r="C44" s="167">
        <f>SensitivityAnalysis!L42</f>
        <v>0</v>
      </c>
      <c r="D44" s="237">
        <f>SensitivityAnalysis!M42</f>
        <v>3497.2526923804312</v>
      </c>
      <c r="E44" s="233">
        <f>SensitivityAnalysis!N42</f>
        <v>8665.8662154198901</v>
      </c>
      <c r="F44" s="238">
        <f>SensitivityAnalysis!O42</f>
        <v>10537.354917558971</v>
      </c>
      <c r="G44" s="233">
        <f>SensitivityAnalysis!P42</f>
        <v>22700.473825359291</v>
      </c>
      <c r="H44" s="233">
        <f>SensitivityAnalysis!Q42</f>
        <v>14527.146666666667</v>
      </c>
      <c r="I44" s="209">
        <f>SensitivityAnalysis!R42</f>
        <v>-8173.3271586926239</v>
      </c>
    </row>
    <row r="45" spans="1:10">
      <c r="A45" s="232">
        <f>SensitivityAnalysis!J43</f>
        <v>12160</v>
      </c>
      <c r="B45" s="245">
        <f>SensitivityAnalysis!K43</f>
        <v>1.8666666666666667</v>
      </c>
      <c r="C45" s="167">
        <f>SensitivityAnalysis!L43</f>
        <v>0</v>
      </c>
      <c r="D45" s="237">
        <f>SensitivityAnalysis!M43</f>
        <v>3497.2526923804312</v>
      </c>
      <c r="E45" s="233">
        <f>SensitivityAnalysis!N43</f>
        <v>9934.5596906198898</v>
      </c>
      <c r="F45" s="238">
        <f>SensitivityAnalysis!O43</f>
        <v>12260.021584225638</v>
      </c>
      <c r="G45" s="233">
        <f>SensitivityAnalysis!P43</f>
        <v>25691.833967225961</v>
      </c>
      <c r="H45" s="233">
        <f>SensitivityAnalysis!Q43</f>
        <v>22698.666666666668</v>
      </c>
      <c r="I45" s="209">
        <f>SensitivityAnalysis!R43</f>
        <v>-2993.1673005592929</v>
      </c>
    </row>
    <row r="46" spans="1:10">
      <c r="A46" s="247">
        <f>SensitivityAnalysis!J44</f>
        <v>15200</v>
      </c>
      <c r="B46" s="253">
        <f>SensitivityAnalysis!K44</f>
        <v>2.3333333333333335</v>
      </c>
      <c r="C46" s="248">
        <f>SensitivityAnalysis!L44</f>
        <v>0</v>
      </c>
      <c r="D46" s="249">
        <f>SensitivityAnalysis!M44</f>
        <v>3497.2526923804312</v>
      </c>
      <c r="E46" s="250">
        <f>SensitivityAnalysis!N44</f>
        <v>11520.42653461989</v>
      </c>
      <c r="F46" s="251">
        <f>SensitivityAnalysis!O44</f>
        <v>14413.354917558972</v>
      </c>
      <c r="G46" s="250">
        <f>SensitivityAnalysis!P44</f>
        <v>29431.034144559293</v>
      </c>
      <c r="H46" s="250">
        <f>SensitivityAnalysis!Q44</f>
        <v>35466.666666666672</v>
      </c>
      <c r="I46" s="252">
        <f>SensitivityAnalysis!R44</f>
        <v>6035.6325221073785</v>
      </c>
    </row>
    <row r="47" spans="1:10">
      <c r="A47" s="232">
        <f>SensitivityAnalysis!J45</f>
        <v>18240</v>
      </c>
      <c r="B47" s="245">
        <f>SensitivityAnalysis!K45</f>
        <v>2.8000000000000003</v>
      </c>
      <c r="C47" s="167">
        <f>SensitivityAnalysis!L45</f>
        <v>0</v>
      </c>
      <c r="D47" s="237">
        <f>SensitivityAnalysis!M45</f>
        <v>3497.2526923804312</v>
      </c>
      <c r="E47" s="233">
        <f>SensitivityAnalysis!N45</f>
        <v>13106.293378619888</v>
      </c>
      <c r="F47" s="238">
        <f>SensitivityAnalysis!O45</f>
        <v>16566.688250892304</v>
      </c>
      <c r="G47" s="233">
        <f>SensitivityAnalysis!P45</f>
        <v>33170.234321892625</v>
      </c>
      <c r="H47" s="233">
        <f>SensitivityAnalysis!Q45</f>
        <v>51072.000000000007</v>
      </c>
      <c r="I47" s="209">
        <f>SensitivityAnalysis!R45</f>
        <v>17901.765678107382</v>
      </c>
    </row>
    <row r="48" spans="1:10">
      <c r="A48" s="234">
        <f>SensitivityAnalysis!J46</f>
        <v>21888</v>
      </c>
      <c r="B48" s="246">
        <f>SensitivityAnalysis!K46</f>
        <v>3.3600000000000003</v>
      </c>
      <c r="C48" s="235">
        <f>SensitivityAnalysis!L46</f>
        <v>0</v>
      </c>
      <c r="D48" s="239">
        <f>SensitivityAnalysis!M46</f>
        <v>3497.2526923804312</v>
      </c>
      <c r="E48" s="236">
        <f>SensitivityAnalysis!N46</f>
        <v>15009.333591419889</v>
      </c>
      <c r="F48" s="240">
        <f>SensitivityAnalysis!O46</f>
        <v>19150.688250892304</v>
      </c>
      <c r="G48" s="236">
        <f>SensitivityAnalysis!P46</f>
        <v>37657.274534692624</v>
      </c>
      <c r="H48" s="236">
        <f>SensitivityAnalysis!Q46</f>
        <v>73543.680000000008</v>
      </c>
      <c r="I48" s="212">
        <f>SensitivityAnalysis!R46</f>
        <v>35886.405465307384</v>
      </c>
    </row>
  </sheetData>
  <sheetProtection password="A5F1" sheet="1" objects="1" scenarios="1"/>
  <mergeCells count="12">
    <mergeCell ref="A1:H1"/>
    <mergeCell ref="A2:H2"/>
    <mergeCell ref="A13:H13"/>
    <mergeCell ref="A14:H14"/>
    <mergeCell ref="A25:I25"/>
    <mergeCell ref="A26:I26"/>
    <mergeCell ref="D28:F28"/>
    <mergeCell ref="A38:I38"/>
    <mergeCell ref="A39:I39"/>
    <mergeCell ref="C4:G4"/>
    <mergeCell ref="D41:F41"/>
    <mergeCell ref="C16:G16"/>
  </mergeCells>
  <pageMargins left="1.25" right="0"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25</vt:i4>
      </vt:variant>
      <vt:variant>
        <vt:lpstr>Named Ranges</vt:lpstr>
      </vt:variant>
      <vt:variant>
        <vt:i4>14</vt:i4>
      </vt:variant>
    </vt:vector>
  </HeadingPairs>
  <TitlesOfParts>
    <vt:vector size="39" baseType="lpstr">
      <vt:lpstr>HOCover</vt:lpstr>
      <vt:lpstr>HOAssumptions</vt:lpstr>
      <vt:lpstr>HOPrep</vt:lpstr>
      <vt:lpstr>HOYear1</vt:lpstr>
      <vt:lpstr>HOYear2</vt:lpstr>
      <vt:lpstr>HOYear3</vt:lpstr>
      <vt:lpstr>HOSummary</vt:lpstr>
      <vt:lpstr>HOLabor</vt:lpstr>
      <vt:lpstr>HOReturns</vt:lpstr>
      <vt:lpstr>HOInvest</vt:lpstr>
      <vt:lpstr>Machinery</vt:lpstr>
      <vt:lpstr>Materials</vt:lpstr>
      <vt:lpstr>Yields</vt:lpstr>
      <vt:lpstr>Labor</vt:lpstr>
      <vt:lpstr>Year0</vt:lpstr>
      <vt:lpstr>Year1</vt:lpstr>
      <vt:lpstr>Year2</vt:lpstr>
      <vt:lpstr>Year3</vt:lpstr>
      <vt:lpstr>SummaryCosts</vt:lpstr>
      <vt:lpstr>SensitivityAnalysis</vt:lpstr>
      <vt:lpstr>InvestmentAnalysis</vt:lpstr>
      <vt:lpstr>Trellis Labor</vt:lpstr>
      <vt:lpstr>Trellis Equipment</vt:lpstr>
      <vt:lpstr>Trellis Materials </vt:lpstr>
      <vt:lpstr>Trellis Total Costs </vt:lpstr>
      <vt:lpstr>HOAssumptions!Print_Area</vt:lpstr>
      <vt:lpstr>HOLabor!Print_Area</vt:lpstr>
      <vt:lpstr>HOReturns!Print_Area</vt:lpstr>
      <vt:lpstr>HOYear2!Print_Area</vt:lpstr>
      <vt:lpstr>InvestmentAnalysis!Print_Area</vt:lpstr>
      <vt:lpstr>Machinery!Print_Area</vt:lpstr>
      <vt:lpstr>Materials!Print_Area</vt:lpstr>
      <vt:lpstr>SensitivityAnalysis!Print_Area</vt:lpstr>
      <vt:lpstr>SummaryCosts!Print_Area</vt:lpstr>
      <vt:lpstr>'Trellis Total Costs '!Print_Area</vt:lpstr>
      <vt:lpstr>Year0!Print_Area</vt:lpstr>
      <vt:lpstr>Year1!Print_Area</vt:lpstr>
      <vt:lpstr>Year2!Print_Area</vt:lpstr>
      <vt:lpstr>Year3!Print_Area</vt:lpstr>
    </vt:vector>
  </TitlesOfParts>
  <Company>NCSU-ARE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Baros</dc:creator>
  <cp:lastModifiedBy>Justin Moore</cp:lastModifiedBy>
  <cp:lastPrinted>2011-05-11T12:42:37Z</cp:lastPrinted>
  <dcterms:created xsi:type="dcterms:W3CDTF">2003-02-23T22:21:50Z</dcterms:created>
  <dcterms:modified xsi:type="dcterms:W3CDTF">2011-12-06T15:14:46Z</dcterms:modified>
</cp:coreProperties>
</file>