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20" tabRatio="599" activeTab="1"/>
  </bookViews>
  <sheets>
    <sheet name="HOCover" sheetId="1" r:id="rId1"/>
    <sheet name="HOAssumptions" sheetId="2" r:id="rId2"/>
    <sheet name="HOPrep" sheetId="3" r:id="rId3"/>
    <sheet name="HOYear1" sheetId="4" r:id="rId4"/>
    <sheet name="HOYear2" sheetId="5" r:id="rId5"/>
    <sheet name="HOYear3" sheetId="6" r:id="rId6"/>
    <sheet name="Yields" sheetId="7" r:id="rId7"/>
    <sheet name="HOReturns" sheetId="8" r:id="rId8"/>
    <sheet name="Machinery" sheetId="9" r:id="rId9"/>
    <sheet name="Year0" sheetId="10" r:id="rId10"/>
    <sheet name="Year1" sheetId="11" r:id="rId11"/>
    <sheet name="Year2" sheetId="12" r:id="rId12"/>
    <sheet name="Year3" sheetId="13" r:id="rId13"/>
  </sheets>
  <externalReferences>
    <externalReference r:id="rId16"/>
    <externalReference r:id="rId17"/>
  </externalReferences>
  <definedNames>
    <definedName name="_xlnm.Print_Area" localSheetId="1">'HOAssumptions'!$A$1:$I$72</definedName>
    <definedName name="_xlnm.Print_Area" localSheetId="7">'HOReturns'!$A$1:$I$13</definedName>
    <definedName name="_xlnm.Print_Area" localSheetId="4">'HOYear2'!$A$1:$J$78</definedName>
    <definedName name="_xlnm.Print_Area" localSheetId="8">'Machinery'!$A$4:$R$25</definedName>
    <definedName name="_xlnm.Print_Area" localSheetId="9">'Year0'!$A$1:$Q$33</definedName>
    <definedName name="_xlnm.Print_Area" localSheetId="11">'Year2'!$A$1:$Q$96</definedName>
  </definedNames>
  <calcPr fullCalcOnLoad="1"/>
</workbook>
</file>

<file path=xl/sharedStrings.xml><?xml version="1.0" encoding="utf-8"?>
<sst xmlns="http://schemas.openxmlformats.org/spreadsheetml/2006/main" count="1295" uniqueCount="315">
  <si>
    <t>November</t>
  </si>
  <si>
    <t>Total November</t>
  </si>
  <si>
    <t>Mow Cover Crop</t>
  </si>
  <si>
    <t xml:space="preserve"> </t>
  </si>
  <si>
    <t>Month</t>
  </si>
  <si>
    <t>Summary</t>
  </si>
  <si>
    <t>Cumulative</t>
  </si>
  <si>
    <t>hrs</t>
  </si>
  <si>
    <t>cost/hr</t>
  </si>
  <si>
    <t>eqcost</t>
  </si>
  <si>
    <t>price</t>
  </si>
  <si>
    <t xml:space="preserve">unit </t>
  </si>
  <si>
    <t>matcost</t>
  </si>
  <si>
    <t>cost</t>
  </si>
  <si>
    <t>costs</t>
  </si>
  <si>
    <t>October</t>
  </si>
  <si>
    <t>May</t>
  </si>
  <si>
    <t>Total May</t>
  </si>
  <si>
    <t>Sample Soil</t>
  </si>
  <si>
    <t>Hand Labor &amp; Soil Auger</t>
  </si>
  <si>
    <t>60 HP-WT &amp; Disc</t>
  </si>
  <si>
    <t>Taxes</t>
  </si>
  <si>
    <t>YEAR 0: LAND PREPARATION STAGE</t>
  </si>
  <si>
    <t>April</t>
  </si>
  <si>
    <t>Total April</t>
  </si>
  <si>
    <t>Total June-September</t>
  </si>
  <si>
    <t>YEAR 1: PLANTING</t>
  </si>
  <si>
    <t>March</t>
  </si>
  <si>
    <t xml:space="preserve">Plant Blackberries </t>
  </si>
  <si>
    <t>Hand Labor &amp; Misc. Tools</t>
  </si>
  <si>
    <t xml:space="preserve">Set up irrigation system </t>
  </si>
  <si>
    <t>Utility Trailer &amp; Hand Labor</t>
  </si>
  <si>
    <t>Total March</t>
  </si>
  <si>
    <t>Build Trellis</t>
  </si>
  <si>
    <t>Hand Labor</t>
  </si>
  <si>
    <t>June</t>
  </si>
  <si>
    <t>Irrigate</t>
  </si>
  <si>
    <t>Total June</t>
  </si>
  <si>
    <t>July</t>
  </si>
  <si>
    <t>Total July</t>
  </si>
  <si>
    <t>August</t>
  </si>
  <si>
    <t>Total August</t>
  </si>
  <si>
    <t>September</t>
  </si>
  <si>
    <t>Total September</t>
  </si>
  <si>
    <t>Hand Labor &amp; Shears</t>
  </si>
  <si>
    <t>hive</t>
  </si>
  <si>
    <t xml:space="preserve">Beehives (Rental) </t>
  </si>
  <si>
    <t>Leaf Analysis</t>
  </si>
  <si>
    <t>Remove Canes</t>
  </si>
  <si>
    <t>Repair Trellis</t>
  </si>
  <si>
    <t>Equipment</t>
  </si>
  <si>
    <t>Materials</t>
  </si>
  <si>
    <t>Labor</t>
  </si>
  <si>
    <t>Total</t>
  </si>
  <si>
    <t>Revenue</t>
  </si>
  <si>
    <t>Year 2</t>
  </si>
  <si>
    <t>Unit</t>
  </si>
  <si>
    <t>6000ft</t>
  </si>
  <si>
    <t>Purchase Price</t>
  </si>
  <si>
    <t>Salvage Value</t>
  </si>
  <si>
    <t>Years of Life</t>
  </si>
  <si>
    <t>Insurance</t>
  </si>
  <si>
    <t>Interest</t>
  </si>
  <si>
    <t>Total Ownership Cost / Year</t>
  </si>
  <si>
    <t>Total Annual Operating Costs</t>
  </si>
  <si>
    <t>7'</t>
  </si>
  <si>
    <t>Utility Trailer</t>
  </si>
  <si>
    <t>1/2 Ton Pickup</t>
  </si>
  <si>
    <t>ea</t>
  </si>
  <si>
    <t>60 HP-WT &amp; 7' Tine Chisel Plow</t>
  </si>
  <si>
    <t>110 gal</t>
  </si>
  <si>
    <t>60 HP &amp; Rotary Mower 7'</t>
  </si>
  <si>
    <t>Pruning Euqipment</t>
  </si>
  <si>
    <t>Costs</t>
  </si>
  <si>
    <t>Packing Materials</t>
  </si>
  <si>
    <t>qty</t>
  </si>
  <si>
    <t>Pristine WG</t>
  </si>
  <si>
    <t>Wholesale Price</t>
  </si>
  <si>
    <t>Cull Price</t>
  </si>
  <si>
    <t>Loan Interest Rate</t>
  </si>
  <si>
    <t>Insurance Rate</t>
  </si>
  <si>
    <t>Tax Rate</t>
  </si>
  <si>
    <t>Tractor 30 hp (D)</t>
  </si>
  <si>
    <t>Tractor 60 hp (D)</t>
  </si>
  <si>
    <t>Annual Hours of Use</t>
  </si>
  <si>
    <t>Refridgerated Truck (Used)</t>
  </si>
  <si>
    <t>$/Flat</t>
  </si>
  <si>
    <t>(Flats)</t>
  </si>
  <si>
    <t>357 sq ft</t>
  </si>
  <si>
    <t>Market Prices</t>
  </si>
  <si>
    <t>30HP+Utility Trailer &amp; Hand Labor</t>
  </si>
  <si>
    <t xml:space="preserve">Flats </t>
  </si>
  <si>
    <t>Yield</t>
  </si>
  <si>
    <t>Your</t>
  </si>
  <si>
    <t>Type of Operation</t>
  </si>
  <si>
    <t>(Pounds)</t>
  </si>
  <si>
    <t>Year</t>
  </si>
  <si>
    <t>Cash Flow</t>
  </si>
  <si>
    <t>acre</t>
  </si>
  <si>
    <t>Estimated Yields</t>
  </si>
  <si>
    <t>Marketable Yield</t>
  </si>
  <si>
    <t>Cullage</t>
  </si>
  <si>
    <t>(percent)</t>
  </si>
  <si>
    <t>Marketable</t>
  </si>
  <si>
    <t>Marketable Blackberries</t>
  </si>
  <si>
    <t>$/Pound</t>
  </si>
  <si>
    <t>Culled Blackberries</t>
  </si>
  <si>
    <t>Marketing Assumptions:</t>
  </si>
  <si>
    <t>Harvest Labor Cost</t>
  </si>
  <si>
    <t xml:space="preserve">Production Labor </t>
  </si>
  <si>
    <t>Percent of Base Yield</t>
  </si>
  <si>
    <t>Fixed   Cost/Hr</t>
  </si>
  <si>
    <t>Variable Cost/Hr</t>
  </si>
  <si>
    <t>Annual Depreciation</t>
  </si>
  <si>
    <t>Annual Fuel &amp; Lubricant Costs</t>
  </si>
  <si>
    <t>Repair &amp; Maintenance Cost</t>
  </si>
  <si>
    <t xml:space="preserve">Total   Cost/Hr </t>
  </si>
  <si>
    <t>Estimated Fuel Price        ($/gal)</t>
  </si>
  <si>
    <t>Estimated Fuel Used per Hour (gals)</t>
  </si>
  <si>
    <t>Lubricants as a Percent of Fuel Cost</t>
  </si>
  <si>
    <t>Estimated Average Speed</t>
  </si>
  <si>
    <t>Estimated Fuel Cost/Hour</t>
  </si>
  <si>
    <t>Estimated Lubricant Cost/Hour</t>
  </si>
  <si>
    <t>Total Estimated Fuel &amp; Lube Cost/Hour</t>
  </si>
  <si>
    <t>University, Raleigh, NC 27695-8109</t>
  </si>
  <si>
    <t>Gina E. Fernandez</t>
  </si>
  <si>
    <t>University, Raleigh NC 27695-7609</t>
  </si>
  <si>
    <t>It is also recommended that growers develop a marketing plan and have a marketing strategy before investing in a commercial operation. Production of high value produce is a risky business and the risk increases without a stable marketing outlet. In extreme cases, growers have experienced financial losses when they were not able to find a suitable market outlet and/or when they did not meet the buyer’s expectations.</t>
  </si>
  <si>
    <t>Budgeting Program Developed By:</t>
  </si>
  <si>
    <t>Refrigeration Unit (G)</t>
  </si>
  <si>
    <t>1/2 Ton Pickup (G)</t>
  </si>
  <si>
    <t xml:space="preserve"> $/flat</t>
  </si>
  <si>
    <t xml:space="preserve">Picking Labor </t>
  </si>
  <si>
    <t xml:space="preserve">Field Supervisor </t>
  </si>
  <si>
    <t xml:space="preserve">Sorting Room Labor </t>
  </si>
  <si>
    <t xml:space="preserve"> each</t>
  </si>
  <si>
    <t xml:space="preserve">Projected Base Yields </t>
  </si>
  <si>
    <t xml:space="preserve"> pounds/acre</t>
  </si>
  <si>
    <t>Estimated Average Mileage per Gallon</t>
  </si>
  <si>
    <t>Refrigerated Truck (G)</t>
  </si>
  <si>
    <t>Machinery and Vehicle by Fuel Type</t>
  </si>
  <si>
    <t>( --------------- Dollars per Acre -----------------)</t>
  </si>
  <si>
    <t>( ------------------ Dollars per Acre --------------------)</t>
  </si>
  <si>
    <t>8-5-5</t>
  </si>
  <si>
    <t>4000ft</t>
  </si>
  <si>
    <t>60 HP-WT &amp; Plastic Layer</t>
  </si>
  <si>
    <t>plant</t>
  </si>
  <si>
    <t>Drip Irrig System</t>
  </si>
  <si>
    <t>5000clips</t>
  </si>
  <si>
    <t>Fertilize</t>
  </si>
  <si>
    <t>60 HP-WT &amp; Broadcast spreader</t>
  </si>
  <si>
    <t xml:space="preserve">ton </t>
  </si>
  <si>
    <t>4000ft roll</t>
  </si>
  <si>
    <t xml:space="preserve">Total October </t>
  </si>
  <si>
    <t>Remove and dispose plastic*</t>
  </si>
  <si>
    <t>bale</t>
  </si>
  <si>
    <t>Apply wheat straw**</t>
  </si>
  <si>
    <t xml:space="preserve">October </t>
  </si>
  <si>
    <t xml:space="preserve">Researcher, Department of Agricultural and Resource Economics, North Carolina State </t>
  </si>
  <si>
    <t>Gasoline</t>
  </si>
  <si>
    <t>Diesel</t>
  </si>
  <si>
    <t>$/gal</t>
  </si>
  <si>
    <t>Years 3 and 4</t>
  </si>
  <si>
    <t>Year 5</t>
  </si>
  <si>
    <t>Year 6</t>
  </si>
  <si>
    <t>Pounds  (Years 3 and 4)</t>
  </si>
  <si>
    <t>Flats  (Years 3 and 4)</t>
  </si>
  <si>
    <t>Year 3&amp;4</t>
  </si>
  <si>
    <t>* There will be no plastic to remove in the following years</t>
  </si>
  <si>
    <t>** 50% cost reduction to replanish straw in the following years</t>
  </si>
  <si>
    <t>*** Reduced yield in years 5 and 6 will result in reduced costs of harvest supplies and harvest labor</t>
  </si>
  <si>
    <t>Clam Shells/Flat</t>
  </si>
  <si>
    <t>$/Clam Shell</t>
  </si>
  <si>
    <t>Clam Shells  (Years 3 and 4)</t>
  </si>
  <si>
    <t>Onces in Clam Shell</t>
  </si>
  <si>
    <t>(Clam Shells)</t>
  </si>
  <si>
    <t>Financial</t>
  </si>
  <si>
    <t xml:space="preserve"> PRODUCING, HARVESTING AND MARKETING ORGANIC BLACKBERRIES  </t>
  </si>
  <si>
    <t>COSTS AND RETURNS FOR A ONE-ACRE COMMERCIAL OPERATION</t>
  </si>
  <si>
    <t>January 2015</t>
  </si>
  <si>
    <t>FOR FRESH MARKET IN THE SOUTHEASTERN UNITED STATES</t>
  </si>
  <si>
    <t>Olya Rysin</t>
  </si>
  <si>
    <t>KEY ASSUMPTIONS</t>
  </si>
  <si>
    <t>Selected Input Prices:</t>
  </si>
  <si>
    <t xml:space="preserve"> /hour</t>
  </si>
  <si>
    <t xml:space="preserve">ESTIMATED ORGANIC BLACKBERRY PRODUCTION COSTS PER ACRE: YEAR 0, LAND PREPARATION </t>
  </si>
  <si>
    <t>ESTIMATED ORGANIC BLACKBERRY PRODUCTION COSTS PER ACRE:  YEAR 1, PLANTING YEAR</t>
  </si>
  <si>
    <t>ESTIMATED ORGANIC BLACKBERRY PRODUCTION COSTS PER ACRE : YEAR 2, FIRST HARVEST</t>
  </si>
  <si>
    <t>Tractor Operator/Owner/Manager</t>
  </si>
  <si>
    <t>* Trellis materials (1 acre, 210" rows, 20 rows)</t>
  </si>
  <si>
    <t>Aluminum electric fence wire, 3x2 sides, 24000ft/acre</t>
  </si>
  <si>
    <t>6' Heavy duty metal fence posts (20 per row, 2 for sides)</t>
  </si>
  <si>
    <t>Quantity</t>
  </si>
  <si>
    <t>Price</t>
  </si>
  <si>
    <t>Total cost</t>
  </si>
  <si>
    <t>Streaching devices (6 per row)</t>
  </si>
  <si>
    <t>Other Annual Costs</t>
  </si>
  <si>
    <t>Annual Administrative &amp; Seasonal Costs:</t>
  </si>
  <si>
    <t>Land Rent</t>
  </si>
  <si>
    <t>/acre</t>
  </si>
  <si>
    <t>Utilities, Internet, Legal, Accounting, Etc.</t>
  </si>
  <si>
    <t>Other</t>
  </si>
  <si>
    <t>Organic Certification</t>
  </si>
  <si>
    <t>GAP Certification</t>
  </si>
  <si>
    <t>Total Other Annual Costs</t>
  </si>
  <si>
    <t>TOTAL VARIABLE COSTS</t>
  </si>
  <si>
    <t>TOTAL COSTS</t>
  </si>
  <si>
    <t>Operation</t>
  </si>
  <si>
    <t>Nematode Assay NCDA&amp;CS</t>
  </si>
  <si>
    <t>Plow</t>
  </si>
  <si>
    <t>Remove Weeds from Perimeter</t>
  </si>
  <si>
    <t>Disc</t>
  </si>
  <si>
    <t>Apply Lime</t>
  </si>
  <si>
    <t>Form Beds, Lay Plastic Mulch &amp; Drip</t>
  </si>
  <si>
    <t xml:space="preserve">Plastic Mulch </t>
  </si>
  <si>
    <t>Drip Tape</t>
  </si>
  <si>
    <t>Mow Alleys</t>
  </si>
  <si>
    <t xml:space="preserve">Setup Irrigation System </t>
  </si>
  <si>
    <t>Mark Post Locations</t>
  </si>
  <si>
    <t>Hand Weed</t>
  </si>
  <si>
    <t>Tie and Train</t>
  </si>
  <si>
    <t>Prune, Remove Diseased Leaves</t>
  </si>
  <si>
    <t>Portapotty and Wash Station</t>
  </si>
  <si>
    <t>YEAR 2: FIRST HARVEST</t>
  </si>
  <si>
    <t>Open Plant Holes and Weed</t>
  </si>
  <si>
    <t>ANNUAL YIELDS AND SELLING PRICES SUMMARY</t>
  </si>
  <si>
    <t>Marketable Harvest Labor</t>
  </si>
  <si>
    <t>flat</t>
  </si>
  <si>
    <t>Culled Harvest Labor</t>
  </si>
  <si>
    <t>bucket</t>
  </si>
  <si>
    <t>Harvest Supervisor</t>
  </si>
  <si>
    <t>Pickup</t>
  </si>
  <si>
    <t>Total Harvest</t>
  </si>
  <si>
    <t>Harvest (June-August)</t>
  </si>
  <si>
    <t>Harvest Sorting</t>
  </si>
  <si>
    <t>Transporting</t>
  </si>
  <si>
    <t>Cooling/Transfering</t>
  </si>
  <si>
    <t>Refrigirated Truck</t>
  </si>
  <si>
    <t>TOTAL VARIABLE COSTS (HARVEST EXCLUDED)</t>
  </si>
  <si>
    <t>TOTAL VARIABLE COSTS (HARVEST INCLUDED)</t>
  </si>
  <si>
    <t xml:space="preserve">Beehive Rental </t>
  </si>
  <si>
    <t>Beehive Rental</t>
  </si>
  <si>
    <t>ESTIMATED ORGANIC BLACKBERRY PRODUCTION COSTS PER ACRE: YEARS 3, FULL HARVEST</t>
  </si>
  <si>
    <t>YEAR 3: FULL HARVEST</t>
  </si>
  <si>
    <t>ESTIMATED ORGANIC BLACKBERRY ANNUAL PRODUCTION COSTS, REVENUES, RETURNS</t>
  </si>
  <si>
    <t>AND CASH FLOW PER ACRE</t>
  </si>
  <si>
    <t>Annual Variable Production Costs</t>
  </si>
  <si>
    <t>Net</t>
  </si>
  <si>
    <t xml:space="preserve">Net </t>
  </si>
  <si>
    <t>Cull</t>
  </si>
  <si>
    <t>Harvest</t>
  </si>
  <si>
    <t>( - Pounds per Acre - )</t>
  </si>
  <si>
    <t>( ----------------------------------------------------------------------- Dollars per Acre -------------------------------------------------------------------------- )</t>
  </si>
  <si>
    <t>ESTIMATED COSTS OF OWNING AND OPERATING MACHINERY AND EQUIPMENT</t>
  </si>
  <si>
    <t>Machinery/Equipment</t>
  </si>
  <si>
    <t>Estimated Annual Total Cost/Year</t>
  </si>
  <si>
    <t>Tractor</t>
  </si>
  <si>
    <t>30 hp</t>
  </si>
  <si>
    <t>60 hp</t>
  </si>
  <si>
    <t>3 pt</t>
  </si>
  <si>
    <t>Broadcast Spreader</t>
  </si>
  <si>
    <t>Rotary Mower</t>
  </si>
  <si>
    <t>Tine Chisel Plow</t>
  </si>
  <si>
    <t>9'</t>
  </si>
  <si>
    <t>Plastic Layer</t>
  </si>
  <si>
    <t>Cooling</t>
  </si>
  <si>
    <t>Sorting</t>
  </si>
  <si>
    <t>Cooling Unit</t>
  </si>
  <si>
    <t>Delivering</t>
  </si>
  <si>
    <t>Transporting/Transfering</t>
  </si>
  <si>
    <t>Drip Irrigation System</t>
  </si>
  <si>
    <t>Cooler/Coooling Unit (Used)</t>
  </si>
  <si>
    <t>Plastic is removed and straw is applied in Year3. There will be no plastic to remove in the following years.</t>
  </si>
  <si>
    <t>50% cost reduction to replanish straw in Years 4-6</t>
  </si>
  <si>
    <t>Reduced yield in years 5 -6 results in reduced harvest supplies and labor. Transportation/cooling expenses are assumed unchanged.</t>
  </si>
  <si>
    <t>60 HP-WT &amp; Blast sprayer</t>
  </si>
  <si>
    <t>PTO Blast Sprayer</t>
  </si>
  <si>
    <t>oz</t>
  </si>
  <si>
    <t>lb</t>
  </si>
  <si>
    <t>gal</t>
  </si>
  <si>
    <t>Spray Entrust</t>
  </si>
  <si>
    <t>Spray Dipel DF</t>
  </si>
  <si>
    <t>Spray Organic JMC Stylet Oil</t>
  </si>
  <si>
    <t>Spays</t>
  </si>
  <si>
    <t>Sprays</t>
  </si>
  <si>
    <t xml:space="preserve">Professor, Department of Horticultural Science, North Carolina State </t>
  </si>
  <si>
    <t xml:space="preserve">This budget presents the estimated costs of producing and harvesting blackberries in the Southeastern United States that can be useful for farmers considering starting a commercial operation or expanding an existing operation. The budget was developed for a representative one acre planting with drip irrigation. It was also  assumed that the management would be near optimal and that all currently recommended practices by the agricultural extension services would be followed.  </t>
  </si>
  <si>
    <t>This budget is only a guide and is not meant to be a substitute for growers calculating their own costs. Costs vary from grower to grower due to market conditions, labor supply, age and condition of the machinery and equipment, managerial skill, and many other factors. Since every situation is different, it is recommended that every grower estimate their individual production, harvesting and marketing costs based on their own production techniques, price expectations, local supply of labor, and market situation.</t>
  </si>
  <si>
    <t xml:space="preserve">The key values in the blue cells of this spreadsheet users can either accept or replace with their own estimates. The values in all other cells are protected and calculated based on the inputted key values. </t>
  </si>
  <si>
    <t xml:space="preserve">Clamshells </t>
  </si>
  <si>
    <t xml:space="preserve">Pest Monitoring by Consulting Service </t>
  </si>
  <si>
    <t>Plant cover crop</t>
  </si>
  <si>
    <t>60 HP-WT &amp; Grain drill</t>
  </si>
  <si>
    <t>Soybean, untreated</t>
  </si>
  <si>
    <t>lbs</t>
  </si>
  <si>
    <t>Millet, untreated</t>
  </si>
  <si>
    <t>Grain Drill</t>
  </si>
  <si>
    <t>Mow cover crop</t>
  </si>
  <si>
    <t>60 HP-WT &amp; Flail mower</t>
  </si>
  <si>
    <t>Rotovate cover crop (x2)</t>
  </si>
  <si>
    <t>60 HP-WT &amp; Rototiller</t>
  </si>
  <si>
    <t>Bush Hog</t>
  </si>
  <si>
    <t>Rototiller</t>
  </si>
  <si>
    <t>Seed ryegrass in aisles</t>
  </si>
  <si>
    <t>30 HP-WT &amp; Rot Spreader</t>
  </si>
  <si>
    <t>Plant Cover Crop</t>
  </si>
  <si>
    <t>Seed Ryegrass in Aisles</t>
  </si>
  <si>
    <t>Rotovate Cover Crop</t>
  </si>
  <si>
    <t>Drip System and Injector</t>
  </si>
  <si>
    <t>Allganic potassium sulfate</t>
  </si>
  <si>
    <t>Allganic sodium nitrate</t>
  </si>
  <si>
    <t>Inject fertilizer (x4)</t>
  </si>
  <si>
    <t>Fertilizer Injector</t>
  </si>
  <si>
    <t>Inject Fertilizer</t>
  </si>
  <si>
    <t>Cover crops are an important component of an organic system and in this budget soybean and pearl millet were used. However, the type of cover crop a grower uses may be different. In Year 1, we assumed that the cover crop provided nutrients needed by the blackberry crop, and in subsequent years, nitrogen was added through the drip system. Tissue tests will help determine actual rates for your system. Plastic mulch is laid in Year 1 and removed in Year 3 and wheat straw is used as a mulch for the remaining years.  The spray schedule in this budget is based on a typical year, however, as any grower knows, each year is different and therefore your pests and means of control will likely vary from what is listed. Mention of a product or vendor does not constitute a guarantee or warranty of the product, nor does it imply recommendation of one product over another. Other products may be suitable depending on soils, weather conditions, farm history, and pest pressures. For the most up-to-date IPM recommendations contact Extension Services in your area.</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</si>
</sst>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0.000"/>
    <numFmt numFmtId="167" formatCode="[$$-409]#,##0.00"/>
    <numFmt numFmtId="168" formatCode="[$$-409]#,##0.000"/>
    <numFmt numFmtId="169" formatCode="#,##0.000"/>
    <numFmt numFmtId="170" formatCode="_(&quot;$&quot;* #,##0.000_);_(&quot;$&quot;* \(#,##0.000\);_(&quot;$&quot;* &quot;-&quot;???_);_(@_)"/>
    <numFmt numFmtId="171" formatCode="&quot;$&quot;#,##0.000_);\(&quot;$&quot;#,##0.000\)"/>
    <numFmt numFmtId="172" formatCode="&quot;$&quot;#,##0.000;[Red]&quot;$&quot;#,##0.000"/>
    <numFmt numFmtId="173" formatCode="#,##0.000;[Red]#,##0.000"/>
    <numFmt numFmtId="174" formatCode="&quot;$&quot;#,##0.00;[Red]&quot;$&quot;#,##0.00"/>
    <numFmt numFmtId="175" formatCode="&quot;Yes&quot;;&quot;Yes&quot;;&quot;No&quot;"/>
    <numFmt numFmtId="176" formatCode="&quot;True&quot;;&quot;True&quot;;&quot;False&quot;"/>
    <numFmt numFmtId="177" formatCode="&quot;On&quot;;&quot;On&quot;;&quot;Off&quot;"/>
    <numFmt numFmtId="178" formatCode="[$€-2]\ #,##0.00_);[Red]\([$€-2]\ #,##0.00\)"/>
    <numFmt numFmtId="179" formatCode="&quot;$&quot;#,##0.000_);[Red]\(&quot;$&quot;#,##0.000\)"/>
    <numFmt numFmtId="180" formatCode="&quot;$&quot;#,##0"/>
    <numFmt numFmtId="181" formatCode="_(* #,##0_);_(* \(#,##0\);_(* &quot;-&quot;??_);_(@_)"/>
    <numFmt numFmtId="182" formatCode="#,##0;[Red]#,##0"/>
    <numFmt numFmtId="183" formatCode="_(* #,##0.000_);_(* \(#,##0.000\);_(* &quot;-&quot;???_);_(@_)"/>
    <numFmt numFmtId="184" formatCode="_(* #,##0.00000_);_(* \(#,##0.00000\);_(* &quot;-&quot;?????_);_(@_)"/>
    <numFmt numFmtId="185" formatCode="0.0000"/>
    <numFmt numFmtId="186" formatCode="&quot;$&quot;#,##0.0000"/>
    <numFmt numFmtId="187" formatCode="[$-409]h:mm:ss\ AM/PM"/>
    <numFmt numFmtId="188" formatCode="0.0"/>
    <numFmt numFmtId="189" formatCode="_(* #,##0.0_);_(* \(#,##0.0\);_(* &quot;-&quot;?_);_(@_)"/>
    <numFmt numFmtId="190" formatCode="&quot;$&quot;#,##0.0000_);[Red]\(&quot;$&quot;#,##0.0000\)"/>
    <numFmt numFmtId="191" formatCode="0.0%"/>
    <numFmt numFmtId="192" formatCode="#,##0.0"/>
    <numFmt numFmtId="193" formatCode="&quot;$&quot;#,##0.000000"/>
    <numFmt numFmtId="194" formatCode="&quot;$&quot;#,##0.00000"/>
    <numFmt numFmtId="195" formatCode="#,##0.0000"/>
    <numFmt numFmtId="196" formatCode="#,##0.000_);\(#,##0.000\)"/>
    <numFmt numFmtId="197" formatCode="&quot;$&quot;#,##0.000000000"/>
    <numFmt numFmtId="198" formatCode="#,##0.000_);[Red]\(#,##0.000\)"/>
    <numFmt numFmtId="199" formatCode="0.000%"/>
    <numFmt numFmtId="200" formatCode="&quot;$&quot;#,##0.0000000"/>
    <numFmt numFmtId="201" formatCode="&quot;$&quot;#,##0.00000000"/>
    <numFmt numFmtId="202" formatCode="#,##0.0000_);[Red]\(#,##0.0000\)"/>
    <numFmt numFmtId="203" formatCode="&quot;$&quot;#,##0.0"/>
    <numFmt numFmtId="204" formatCode="[$-409]dddd\,\ mmmm\ dd\,\ yyyy"/>
    <numFmt numFmtId="205" formatCode="_(* #,##0.0_);_(* \(#,##0.0\);_(* &quot;-&quot;??_);_(@_)"/>
    <numFmt numFmtId="206" formatCode="_([$$-409]* #,##0.00_);_([$$-409]* \(#,##0.00\);_([$$-409]* &quot;-&quot;??_);_(@_)"/>
    <numFmt numFmtId="207" formatCode="[$-409]mmm\-yy;@"/>
  </numFmts>
  <fonts count="54">
    <font>
      <sz val="10"/>
      <name val="Arial"/>
      <family val="0"/>
    </font>
    <font>
      <u val="single"/>
      <sz val="10"/>
      <color indexed="30"/>
      <name val="Arial"/>
      <family val="2"/>
    </font>
    <font>
      <u val="single"/>
      <sz val="10"/>
      <color indexed="20"/>
      <name val="Arial"/>
      <family val="2"/>
    </font>
    <font>
      <b/>
      <sz val="8"/>
      <name val="Arial"/>
      <family val="2"/>
    </font>
    <font>
      <b/>
      <sz val="10"/>
      <name val="Arial"/>
      <family val="2"/>
    </font>
    <font>
      <sz val="8"/>
      <name val="Arial"/>
      <family val="0"/>
    </font>
    <font>
      <b/>
      <i/>
      <sz val="8"/>
      <name val="Arial"/>
      <family val="2"/>
    </font>
    <font>
      <sz val="9"/>
      <name val="Arial"/>
      <family val="2"/>
    </font>
    <font>
      <sz val="10"/>
      <color indexed="12"/>
      <name val="Arial"/>
      <family val="2"/>
    </font>
    <font>
      <sz val="10"/>
      <name val="Times New Roman"/>
      <family val="1"/>
    </font>
    <font>
      <b/>
      <sz val="9"/>
      <name val="Arial"/>
      <family val="2"/>
    </font>
    <font>
      <b/>
      <i/>
      <sz val="10"/>
      <name val="Arial"/>
      <family val="2"/>
    </font>
    <font>
      <sz val="9"/>
      <color indexed="8"/>
      <name val="Arial"/>
      <family val="2"/>
    </font>
    <font>
      <sz val="9"/>
      <color indexed="12"/>
      <name val="Arial"/>
      <family val="2"/>
    </font>
    <font>
      <sz val="11"/>
      <name val="Arial"/>
      <family val="2"/>
    </font>
    <font>
      <b/>
      <sz val="8"/>
      <color indexed="8"/>
      <name val="Arial"/>
      <family val="2"/>
    </font>
    <font>
      <sz val="8"/>
      <color indexed="8"/>
      <name val="Arial"/>
      <family val="2"/>
    </font>
    <font>
      <i/>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2"/>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double"/>
    </border>
    <border>
      <left style="thin"/>
      <right style="thin"/>
      <top style="double"/>
      <bottom style="thin"/>
    </border>
    <border>
      <left style="thin"/>
      <right style="thin"/>
      <top style="double"/>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8" fillId="27" borderId="0" applyNumberFormat="0" applyBorder="0" applyAlignment="0" applyProtection="0"/>
    <xf numFmtId="0" fontId="39" fillId="28" borderId="1" applyNumberFormat="0" applyAlignment="0" applyProtection="0"/>
    <xf numFmtId="0" fontId="4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1" borderId="1" applyNumberFormat="0" applyAlignment="0" applyProtection="0"/>
    <xf numFmtId="0" fontId="47" fillId="0" borderId="6" applyNumberFormat="0" applyFill="0" applyAlignment="0" applyProtection="0"/>
    <xf numFmtId="0" fontId="48" fillId="32" borderId="0" applyNumberFormat="0" applyBorder="0" applyAlignment="0" applyProtection="0"/>
    <xf numFmtId="0" fontId="0" fillId="2" borderId="0">
      <alignment/>
      <protection/>
    </xf>
    <xf numFmtId="0" fontId="0" fillId="33" borderId="7" applyNumberFormat="0" applyFont="0" applyAlignment="0" applyProtection="0"/>
    <xf numFmtId="0" fontId="49"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84">
    <xf numFmtId="0" fontId="0" fillId="2" borderId="0" xfId="0" applyAlignment="1">
      <alignment/>
    </xf>
    <xf numFmtId="0" fontId="4" fillId="2" borderId="0" xfId="0" applyFont="1" applyAlignment="1">
      <alignment/>
    </xf>
    <xf numFmtId="0" fontId="0" fillId="2" borderId="0" xfId="0" applyAlignment="1">
      <alignment horizontal="left"/>
    </xf>
    <xf numFmtId="2" fontId="0" fillId="2" borderId="0" xfId="0" applyNumberFormat="1" applyAlignment="1">
      <alignment/>
    </xf>
    <xf numFmtId="181" fontId="5" fillId="0" borderId="0" xfId="42" applyNumberFormat="1" applyFont="1" applyBorder="1" applyAlignment="1">
      <alignment horizontal="left"/>
    </xf>
    <xf numFmtId="43" fontId="5" fillId="0" borderId="0" xfId="42" applyNumberFormat="1" applyFont="1" applyBorder="1" applyAlignment="1">
      <alignment horizontal="left"/>
    </xf>
    <xf numFmtId="43" fontId="5" fillId="0" borderId="0" xfId="42" applyNumberFormat="1" applyFont="1" applyBorder="1" applyAlignment="1">
      <alignment/>
    </xf>
    <xf numFmtId="0" fontId="0" fillId="2" borderId="0" xfId="0" applyFont="1" applyAlignment="1">
      <alignment/>
    </xf>
    <xf numFmtId="0" fontId="8" fillId="2" borderId="0" xfId="0" applyFont="1" applyAlignment="1">
      <alignment/>
    </xf>
    <xf numFmtId="0" fontId="5" fillId="2" borderId="0" xfId="0" applyFont="1" applyAlignment="1">
      <alignment/>
    </xf>
    <xf numFmtId="0" fontId="4" fillId="2" borderId="0" xfId="0" applyFont="1" applyBorder="1" applyAlignment="1">
      <alignment/>
    </xf>
    <xf numFmtId="181" fontId="0" fillId="0" borderId="0" xfId="42" applyNumberFormat="1" applyFont="1" applyBorder="1" applyAlignment="1">
      <alignment horizontal="left"/>
    </xf>
    <xf numFmtId="0" fontId="7" fillId="2" borderId="0" xfId="0" applyFont="1" applyBorder="1" applyAlignment="1">
      <alignment/>
    </xf>
    <xf numFmtId="0" fontId="5" fillId="0" borderId="0" xfId="0" applyFont="1" applyFill="1" applyBorder="1" applyAlignment="1">
      <alignment/>
    </xf>
    <xf numFmtId="164" fontId="0" fillId="2" borderId="0" xfId="0" applyNumberFormat="1" applyAlignment="1">
      <alignment/>
    </xf>
    <xf numFmtId="0" fontId="0" fillId="2" borderId="10" xfId="0" applyBorder="1" applyAlignment="1">
      <alignment/>
    </xf>
    <xf numFmtId="0" fontId="4" fillId="2" borderId="0" xfId="0" applyFont="1" applyAlignment="1">
      <alignment horizontal="center"/>
    </xf>
    <xf numFmtId="0" fontId="4" fillId="2" borderId="11" xfId="0" applyFont="1" applyBorder="1" applyAlignment="1">
      <alignment horizontal="center"/>
    </xf>
    <xf numFmtId="0" fontId="4" fillId="2" borderId="10" xfId="0" applyFont="1" applyBorder="1" applyAlignment="1">
      <alignment horizontal="center"/>
    </xf>
    <xf numFmtId="0" fontId="0" fillId="2" borderId="0" xfId="0" applyAlignment="1">
      <alignment/>
    </xf>
    <xf numFmtId="0" fontId="4" fillId="2" borderId="12" xfId="0" applyFont="1" applyBorder="1" applyAlignment="1">
      <alignment/>
    </xf>
    <xf numFmtId="0" fontId="10" fillId="2" borderId="12" xfId="0" applyFont="1" applyBorder="1" applyAlignment="1">
      <alignment/>
    </xf>
    <xf numFmtId="0" fontId="4" fillId="2" borderId="13" xfId="0" applyFont="1" applyBorder="1" applyAlignment="1">
      <alignment/>
    </xf>
    <xf numFmtId="0" fontId="10" fillId="2" borderId="13" xfId="0" applyFont="1" applyBorder="1" applyAlignment="1">
      <alignment/>
    </xf>
    <xf numFmtId="0" fontId="4" fillId="0" borderId="0" xfId="0" applyFont="1" applyFill="1" applyBorder="1" applyAlignment="1">
      <alignment/>
    </xf>
    <xf numFmtId="0" fontId="11" fillId="0" borderId="0" xfId="0" applyFont="1" applyFill="1" applyBorder="1" applyAlignment="1">
      <alignment horizontal="left"/>
    </xf>
    <xf numFmtId="0" fontId="11" fillId="0" borderId="0" xfId="0" applyFont="1" applyFill="1" applyBorder="1" applyAlignment="1">
      <alignment horizontal="right"/>
    </xf>
    <xf numFmtId="0" fontId="0" fillId="0" borderId="0" xfId="0" applyFont="1" applyFill="1" applyBorder="1" applyAlignment="1">
      <alignment horizontal="right"/>
    </xf>
    <xf numFmtId="165" fontId="11" fillId="0" borderId="0" xfId="0" applyNumberFormat="1" applyFont="1" applyFill="1" applyBorder="1" applyAlignment="1">
      <alignment horizontal="right"/>
    </xf>
    <xf numFmtId="0" fontId="0" fillId="2" borderId="0" xfId="0" applyFont="1" applyBorder="1" applyAlignment="1">
      <alignment/>
    </xf>
    <xf numFmtId="0" fontId="10" fillId="2" borderId="0" xfId="0" applyFont="1" applyAlignment="1">
      <alignment horizontal="center"/>
    </xf>
    <xf numFmtId="0" fontId="10" fillId="2" borderId="13" xfId="0" applyFont="1" applyBorder="1" applyAlignment="1">
      <alignment horizontal="center"/>
    </xf>
    <xf numFmtId="0" fontId="7" fillId="2" borderId="0" xfId="0" applyFont="1" applyAlignment="1">
      <alignment/>
    </xf>
    <xf numFmtId="0" fontId="0" fillId="2" borderId="12" xfId="0" applyBorder="1" applyAlignment="1">
      <alignment/>
    </xf>
    <xf numFmtId="3" fontId="0" fillId="2" borderId="0" xfId="0" applyNumberFormat="1" applyAlignment="1">
      <alignment/>
    </xf>
    <xf numFmtId="0" fontId="0" fillId="2" borderId="0" xfId="0" applyBorder="1" applyAlignment="1">
      <alignment/>
    </xf>
    <xf numFmtId="0" fontId="4" fillId="34" borderId="0" xfId="0" applyFont="1" applyFill="1" applyAlignment="1">
      <alignment/>
    </xf>
    <xf numFmtId="0" fontId="10" fillId="2" borderId="12" xfId="0" applyFont="1" applyBorder="1" applyAlignment="1">
      <alignment horizontal="center"/>
    </xf>
    <xf numFmtId="0" fontId="7" fillId="2" borderId="12" xfId="0" applyFont="1" applyBorder="1" applyAlignment="1">
      <alignment/>
    </xf>
    <xf numFmtId="0" fontId="0" fillId="34" borderId="0" xfId="0" applyFill="1" applyAlignment="1">
      <alignment/>
    </xf>
    <xf numFmtId="2" fontId="0" fillId="34" borderId="0" xfId="0" applyNumberFormat="1" applyFill="1" applyAlignment="1">
      <alignment/>
    </xf>
    <xf numFmtId="192" fontId="0" fillId="2" borderId="0" xfId="0" applyNumberFormat="1" applyAlignment="1">
      <alignment/>
    </xf>
    <xf numFmtId="0" fontId="0" fillId="2" borderId="10" xfId="0" applyFont="1" applyBorder="1" applyAlignment="1">
      <alignment/>
    </xf>
    <xf numFmtId="164" fontId="0" fillId="2" borderId="0" xfId="0" applyNumberFormat="1" applyFont="1" applyAlignment="1">
      <alignment/>
    </xf>
    <xf numFmtId="0" fontId="10" fillId="2" borderId="13" xfId="0" applyFont="1" applyBorder="1" applyAlignment="1">
      <alignment/>
    </xf>
    <xf numFmtId="3" fontId="10" fillId="2" borderId="13" xfId="0" applyNumberFormat="1" applyFont="1" applyBorder="1" applyAlignment="1">
      <alignment horizontal="center"/>
    </xf>
    <xf numFmtId="191" fontId="0" fillId="2" borderId="0" xfId="0" applyNumberFormat="1" applyAlignment="1">
      <alignment/>
    </xf>
    <xf numFmtId="3" fontId="0" fillId="2" borderId="10" xfId="0" applyNumberFormat="1" applyBorder="1" applyAlignment="1">
      <alignment/>
    </xf>
    <xf numFmtId="0" fontId="0" fillId="34" borderId="0" xfId="0" applyFill="1" applyAlignment="1">
      <alignment horizontal="center"/>
    </xf>
    <xf numFmtId="0" fontId="8" fillId="34" borderId="0" xfId="0" applyFont="1" applyFill="1" applyAlignment="1">
      <alignment/>
    </xf>
    <xf numFmtId="172" fontId="5" fillId="34" borderId="0" xfId="0" applyNumberFormat="1" applyFont="1" applyFill="1" applyBorder="1" applyAlignment="1">
      <alignment/>
    </xf>
    <xf numFmtId="0" fontId="5" fillId="34" borderId="0" xfId="0" applyFont="1" applyFill="1" applyBorder="1" applyAlignment="1">
      <alignment horizontal="center"/>
    </xf>
    <xf numFmtId="2" fontId="5" fillId="34" borderId="0" xfId="0" applyNumberFormat="1" applyFont="1" applyFill="1" applyBorder="1" applyAlignment="1">
      <alignment/>
    </xf>
    <xf numFmtId="0" fontId="5" fillId="34" borderId="0" xfId="0" applyFont="1" applyFill="1" applyBorder="1" applyAlignment="1">
      <alignment/>
    </xf>
    <xf numFmtId="164" fontId="5" fillId="34" borderId="0" xfId="0" applyNumberFormat="1" applyFont="1" applyFill="1" applyBorder="1" applyAlignment="1">
      <alignment/>
    </xf>
    <xf numFmtId="174" fontId="5" fillId="34" borderId="0" xfId="0" applyNumberFormat="1" applyFont="1" applyFill="1" applyBorder="1" applyAlignment="1">
      <alignment horizontal="right"/>
    </xf>
    <xf numFmtId="0" fontId="7" fillId="34" borderId="0" xfId="0" applyFont="1" applyFill="1" applyBorder="1" applyAlignment="1">
      <alignment/>
    </xf>
    <xf numFmtId="0" fontId="0" fillId="34" borderId="0" xfId="0" applyFill="1" applyBorder="1" applyAlignment="1">
      <alignment/>
    </xf>
    <xf numFmtId="192" fontId="0" fillId="34" borderId="0" xfId="0" applyNumberFormat="1" applyFill="1" applyAlignment="1">
      <alignment/>
    </xf>
    <xf numFmtId="191" fontId="0" fillId="34" borderId="0" xfId="0" applyNumberFormat="1" applyFill="1" applyAlignment="1">
      <alignment/>
    </xf>
    <xf numFmtId="191" fontId="0" fillId="34" borderId="0" xfId="0" applyNumberFormat="1" applyFill="1" applyAlignment="1">
      <alignment horizontal="center"/>
    </xf>
    <xf numFmtId="164" fontId="0" fillId="34" borderId="0" xfId="0" applyNumberFormat="1" applyFill="1" applyAlignment="1">
      <alignment/>
    </xf>
    <xf numFmtId="164" fontId="7" fillId="2" borderId="0" xfId="0" applyNumberFormat="1" applyFont="1" applyAlignment="1">
      <alignment/>
    </xf>
    <xf numFmtId="0" fontId="14" fillId="2" borderId="0" xfId="0" applyFont="1" applyAlignment="1">
      <alignment horizontal="center"/>
    </xf>
    <xf numFmtId="0" fontId="0" fillId="2" borderId="0" xfId="0" applyFont="1" applyAlignment="1">
      <alignment horizontal="left" vertical="top" wrapText="1" readingOrder="1"/>
    </xf>
    <xf numFmtId="0" fontId="0" fillId="2" borderId="0" xfId="0" applyFont="1" applyAlignment="1">
      <alignment horizontal="center" vertical="top" wrapText="1"/>
    </xf>
    <xf numFmtId="165" fontId="0" fillId="34" borderId="0" xfId="0" applyNumberFormat="1" applyFill="1" applyAlignment="1">
      <alignment/>
    </xf>
    <xf numFmtId="0" fontId="8" fillId="34" borderId="0" xfId="0" applyFont="1" applyFill="1" applyBorder="1" applyAlignment="1">
      <alignment/>
    </xf>
    <xf numFmtId="15" fontId="0" fillId="34" borderId="0" xfId="0" applyNumberFormat="1" applyFill="1" applyAlignment="1">
      <alignment/>
    </xf>
    <xf numFmtId="0" fontId="0" fillId="34" borderId="0" xfId="0" applyFont="1" applyFill="1" applyAlignment="1">
      <alignment horizontal="center"/>
    </xf>
    <xf numFmtId="0" fontId="4" fillId="2" borderId="0" xfId="0" applyFont="1" applyAlignment="1">
      <alignment horizontal="left"/>
    </xf>
    <xf numFmtId="10" fontId="0" fillId="34" borderId="0" xfId="0" applyNumberFormat="1" applyFill="1" applyBorder="1" applyAlignment="1">
      <alignment horizontal="center"/>
    </xf>
    <xf numFmtId="0" fontId="9" fillId="34" borderId="14" xfId="0" applyFont="1" applyFill="1" applyBorder="1" applyAlignment="1">
      <alignment horizontal="center" vertical="center" wrapText="1"/>
    </xf>
    <xf numFmtId="0" fontId="9" fillId="2" borderId="14" xfId="0" applyFont="1" applyBorder="1" applyAlignment="1">
      <alignment horizontal="center" vertical="center" wrapText="1"/>
    </xf>
    <xf numFmtId="0" fontId="0" fillId="34" borderId="15" xfId="0" applyFill="1" applyBorder="1" applyAlignment="1">
      <alignment horizontal="left" vertical="center"/>
    </xf>
    <xf numFmtId="0" fontId="0" fillId="35" borderId="16" xfId="0" applyFill="1" applyBorder="1" applyAlignment="1">
      <alignment vertical="center"/>
    </xf>
    <xf numFmtId="164" fontId="0" fillId="2" borderId="17" xfId="0" applyNumberFormat="1" applyFont="1" applyBorder="1" applyAlignment="1">
      <alignment horizontal="center" vertical="center"/>
    </xf>
    <xf numFmtId="164" fontId="0" fillId="2" borderId="17" xfId="0" applyNumberFormat="1" applyBorder="1" applyAlignment="1">
      <alignment horizontal="center" vertical="center"/>
    </xf>
    <xf numFmtId="0" fontId="0" fillId="34" borderId="18" xfId="0" applyFill="1" applyBorder="1" applyAlignment="1">
      <alignment horizontal="left" vertical="center" wrapText="1"/>
    </xf>
    <xf numFmtId="164" fontId="0" fillId="34" borderId="17" xfId="0" applyNumberFormat="1" applyFill="1" applyBorder="1" applyAlignment="1">
      <alignment horizontal="center" vertical="center"/>
    </xf>
    <xf numFmtId="0" fontId="0" fillId="35" borderId="19" xfId="0" applyFill="1" applyBorder="1" applyAlignment="1">
      <alignment vertical="center"/>
    </xf>
    <xf numFmtId="164" fontId="0" fillId="2" borderId="18" xfId="0" applyNumberFormat="1" applyFont="1" applyBorder="1" applyAlignment="1">
      <alignment horizontal="center" vertical="center"/>
    </xf>
    <xf numFmtId="164" fontId="0" fillId="2" borderId="18" xfId="0" applyNumberFormat="1" applyBorder="1" applyAlignment="1">
      <alignment horizontal="center" vertical="center"/>
    </xf>
    <xf numFmtId="0" fontId="0" fillId="34" borderId="18" xfId="0" applyFont="1" applyFill="1" applyBorder="1" applyAlignment="1">
      <alignment horizontal="left" vertical="center" wrapText="1"/>
    </xf>
    <xf numFmtId="0" fontId="8" fillId="35" borderId="17" xfId="0" applyFont="1" applyFill="1" applyBorder="1" applyAlignment="1">
      <alignment vertical="center"/>
    </xf>
    <xf numFmtId="0" fontId="0" fillId="35" borderId="20" xfId="0" applyFill="1" applyBorder="1" applyAlignment="1">
      <alignment vertical="center"/>
    </xf>
    <xf numFmtId="164" fontId="0" fillId="34" borderId="18" xfId="0" applyNumberFormat="1" applyFill="1" applyBorder="1" applyAlignment="1">
      <alignment horizontal="center" vertical="center"/>
    </xf>
    <xf numFmtId="0" fontId="0" fillId="35" borderId="17" xfId="0" applyFill="1" applyBorder="1" applyAlignment="1">
      <alignment vertical="center"/>
    </xf>
    <xf numFmtId="0" fontId="3" fillId="0" borderId="0" xfId="0" applyFont="1" applyFill="1" applyAlignment="1">
      <alignment/>
    </xf>
    <xf numFmtId="0" fontId="5" fillId="0" borderId="0" xfId="0" applyFont="1" applyFill="1" applyAlignment="1">
      <alignment/>
    </xf>
    <xf numFmtId="172" fontId="5" fillId="0" borderId="0" xfId="0" applyNumberFormat="1" applyFont="1" applyFill="1" applyAlignment="1">
      <alignment/>
    </xf>
    <xf numFmtId="172" fontId="5" fillId="2" borderId="0" xfId="0" applyNumberFormat="1" applyFont="1" applyAlignment="1">
      <alignment/>
    </xf>
    <xf numFmtId="0" fontId="5" fillId="2" borderId="0" xfId="0" applyFont="1" applyAlignment="1">
      <alignment horizontal="center"/>
    </xf>
    <xf numFmtId="0" fontId="5" fillId="2" borderId="0" xfId="0" applyFont="1" applyAlignment="1">
      <alignment horizontal="right"/>
    </xf>
    <xf numFmtId="166" fontId="5" fillId="2" borderId="0" xfId="0" applyNumberFormat="1" applyFont="1" applyAlignment="1">
      <alignment horizontal="right"/>
    </xf>
    <xf numFmtId="172" fontId="5" fillId="2" borderId="0" xfId="0" applyNumberFormat="1" applyFont="1" applyAlignment="1">
      <alignment horizontal="right"/>
    </xf>
    <xf numFmtId="165" fontId="5" fillId="2" borderId="0" xfId="0" applyNumberFormat="1" applyFont="1" applyAlignment="1">
      <alignment horizontal="right"/>
    </xf>
    <xf numFmtId="174" fontId="5" fillId="2" borderId="0" xfId="0" applyNumberFormat="1" applyFont="1" applyAlignment="1">
      <alignment horizontal="right"/>
    </xf>
    <xf numFmtId="172" fontId="5" fillId="34" borderId="0" xfId="0" applyNumberFormat="1" applyFont="1" applyFill="1" applyBorder="1" applyAlignment="1">
      <alignment horizontal="right"/>
    </xf>
    <xf numFmtId="0" fontId="5" fillId="34" borderId="0" xfId="0" applyFont="1" applyFill="1" applyBorder="1" applyAlignment="1">
      <alignment horizontal="right"/>
    </xf>
    <xf numFmtId="2" fontId="5" fillId="34" borderId="0" xfId="0" applyNumberFormat="1" applyFont="1" applyFill="1" applyBorder="1" applyAlignment="1">
      <alignment horizontal="right"/>
    </xf>
    <xf numFmtId="165" fontId="5" fillId="2" borderId="0" xfId="0" applyNumberFormat="1" applyFont="1" applyAlignment="1">
      <alignment/>
    </xf>
    <xf numFmtId="165" fontId="5" fillId="2" borderId="0" xfId="0" applyNumberFormat="1" applyFont="1" applyAlignment="1">
      <alignment horizontal="center"/>
    </xf>
    <xf numFmtId="174" fontId="5" fillId="34" borderId="0" xfId="0" applyNumberFormat="1" applyFont="1" applyFill="1" applyBorder="1" applyAlignment="1">
      <alignment/>
    </xf>
    <xf numFmtId="4" fontId="5" fillId="34" borderId="0" xfId="0" applyNumberFormat="1" applyFont="1" applyFill="1" applyBorder="1" applyAlignment="1">
      <alignment/>
    </xf>
    <xf numFmtId="43" fontId="5" fillId="34" borderId="0" xfId="0" applyNumberFormat="1" applyFont="1" applyFill="1" applyBorder="1" applyAlignment="1">
      <alignment/>
    </xf>
    <xf numFmtId="165" fontId="5" fillId="34" borderId="0" xfId="0" applyNumberFormat="1" applyFont="1" applyFill="1" applyBorder="1" applyAlignment="1">
      <alignment horizontal="right"/>
    </xf>
    <xf numFmtId="164" fontId="5" fillId="34" borderId="0" xfId="0" applyNumberFormat="1" applyFont="1" applyFill="1" applyBorder="1" applyAlignment="1">
      <alignment horizontal="center"/>
    </xf>
    <xf numFmtId="164" fontId="5" fillId="34" borderId="0" xfId="0" applyNumberFormat="1" applyFont="1" applyFill="1" applyBorder="1" applyAlignment="1">
      <alignment horizontal="right"/>
    </xf>
    <xf numFmtId="0" fontId="5" fillId="2" borderId="0" xfId="0" applyFont="1" applyAlignment="1">
      <alignment horizontal="left"/>
    </xf>
    <xf numFmtId="164" fontId="0" fillId="34" borderId="15" xfId="0" applyNumberFormat="1" applyFill="1" applyBorder="1" applyAlignment="1">
      <alignment horizontal="center" vertical="center"/>
    </xf>
    <xf numFmtId="164" fontId="0" fillId="34" borderId="19" xfId="0" applyNumberFormat="1" applyFill="1" applyBorder="1" applyAlignment="1">
      <alignment horizontal="center" vertical="center"/>
    </xf>
    <xf numFmtId="3" fontId="0" fillId="2" borderId="0" xfId="0" applyNumberFormat="1" applyBorder="1" applyAlignment="1">
      <alignment/>
    </xf>
    <xf numFmtId="181" fontId="0" fillId="34" borderId="0" xfId="42" applyNumberFormat="1" applyFont="1" applyFill="1" applyAlignment="1">
      <alignment/>
    </xf>
    <xf numFmtId="0" fontId="0" fillId="2" borderId="0" xfId="0" applyFont="1" applyAlignment="1">
      <alignment horizontal="center"/>
    </xf>
    <xf numFmtId="0" fontId="0" fillId="36" borderId="0" xfId="0" applyFill="1" applyAlignment="1">
      <alignment/>
    </xf>
    <xf numFmtId="0" fontId="0" fillId="36" borderId="0" xfId="0" applyFont="1" applyFill="1" applyAlignment="1">
      <alignment/>
    </xf>
    <xf numFmtId="0" fontId="0" fillId="34" borderId="10" xfId="0" applyFill="1" applyBorder="1" applyAlignment="1">
      <alignment/>
    </xf>
    <xf numFmtId="0" fontId="0" fillId="34" borderId="21" xfId="0" applyFill="1" applyBorder="1" applyAlignment="1">
      <alignment/>
    </xf>
    <xf numFmtId="4" fontId="0" fillId="34" borderId="0" xfId="0" applyNumberFormat="1" applyFont="1" applyFill="1" applyAlignment="1">
      <alignment/>
    </xf>
    <xf numFmtId="0" fontId="0" fillId="34" borderId="0" xfId="0" applyFont="1" applyFill="1" applyBorder="1" applyAlignment="1">
      <alignment/>
    </xf>
    <xf numFmtId="49" fontId="0" fillId="34" borderId="0" xfId="0" applyNumberFormat="1" applyFont="1" applyFill="1" applyBorder="1" applyAlignment="1">
      <alignment/>
    </xf>
    <xf numFmtId="0" fontId="0" fillId="34" borderId="0" xfId="0" applyFont="1" applyFill="1" applyAlignment="1">
      <alignment/>
    </xf>
    <xf numFmtId="0" fontId="4" fillId="34" borderId="0" xfId="0" applyNumberFormat="1" applyFont="1" applyFill="1" applyBorder="1" applyAlignment="1">
      <alignment horizontal="left" vertical="top"/>
    </xf>
    <xf numFmtId="4" fontId="0" fillId="34" borderId="0" xfId="0" applyNumberFormat="1" applyFont="1" applyFill="1" applyBorder="1" applyAlignment="1">
      <alignment horizontal="right"/>
    </xf>
    <xf numFmtId="0" fontId="0" fillId="34" borderId="0" xfId="0" applyNumberFormat="1" applyFont="1" applyFill="1" applyBorder="1" applyAlignment="1">
      <alignment horizontal="left" wrapText="1"/>
    </xf>
    <xf numFmtId="0" fontId="4" fillId="34" borderId="0" xfId="0" applyFont="1" applyFill="1" applyBorder="1" applyAlignment="1">
      <alignment horizontal="left"/>
    </xf>
    <xf numFmtId="0" fontId="4" fillId="34" borderId="0" xfId="0" applyFont="1" applyFill="1" applyBorder="1" applyAlignment="1">
      <alignment horizontal="right"/>
    </xf>
    <xf numFmtId="4" fontId="4" fillId="34" borderId="0" xfId="0" applyNumberFormat="1" applyFont="1" applyFill="1" applyBorder="1" applyAlignment="1">
      <alignment horizontal="right"/>
    </xf>
    <xf numFmtId="0" fontId="0" fillId="34" borderId="0" xfId="0" applyFont="1" applyFill="1" applyBorder="1" applyAlignment="1">
      <alignment horizontal="left"/>
    </xf>
    <xf numFmtId="0" fontId="0" fillId="34" borderId="0" xfId="0" applyFont="1" applyFill="1" applyBorder="1" applyAlignment="1">
      <alignment horizontal="right"/>
    </xf>
    <xf numFmtId="2" fontId="0" fillId="34" borderId="0" xfId="0" applyNumberFormat="1" applyFont="1" applyFill="1" applyBorder="1" applyAlignment="1">
      <alignment horizontal="left"/>
    </xf>
    <xf numFmtId="2" fontId="4" fillId="34" borderId="0" xfId="0" applyNumberFormat="1" applyFont="1" applyFill="1" applyBorder="1" applyAlignment="1">
      <alignment horizontal="left"/>
    </xf>
    <xf numFmtId="0" fontId="11" fillId="34" borderId="0" xfId="0" applyNumberFormat="1" applyFont="1" applyFill="1" applyBorder="1" applyAlignment="1">
      <alignment horizontal="left" wrapText="1"/>
    </xf>
    <xf numFmtId="0" fontId="4" fillId="34" borderId="0" xfId="0" applyNumberFormat="1" applyFont="1" applyFill="1" applyBorder="1" applyAlignment="1">
      <alignment horizontal="left"/>
    </xf>
    <xf numFmtId="0" fontId="4" fillId="34" borderId="0" xfId="0" applyNumberFormat="1" applyFont="1" applyFill="1" applyBorder="1" applyAlignment="1">
      <alignment horizontal="left" wrapText="1"/>
    </xf>
    <xf numFmtId="4" fontId="0" fillId="34" borderId="0" xfId="0" applyNumberFormat="1" applyFont="1" applyFill="1" applyBorder="1" applyAlignment="1">
      <alignment horizontal="left"/>
    </xf>
    <xf numFmtId="0" fontId="0" fillId="34" borderId="0" xfId="0" applyNumberFormat="1" applyFont="1" applyFill="1" applyBorder="1" applyAlignment="1">
      <alignment horizontal="left"/>
    </xf>
    <xf numFmtId="0" fontId="7" fillId="34" borderId="0" xfId="0" applyFont="1" applyFill="1" applyAlignment="1">
      <alignment/>
    </xf>
    <xf numFmtId="4" fontId="7" fillId="34" borderId="0" xfId="0" applyNumberFormat="1" applyFont="1" applyFill="1" applyAlignment="1">
      <alignment/>
    </xf>
    <xf numFmtId="0" fontId="7" fillId="34" borderId="10" xfId="0" applyFont="1" applyFill="1" applyBorder="1" applyAlignment="1">
      <alignment/>
    </xf>
    <xf numFmtId="0" fontId="7" fillId="34" borderId="21" xfId="0" applyFont="1" applyFill="1" applyBorder="1" applyAlignment="1">
      <alignment/>
    </xf>
    <xf numFmtId="0" fontId="10" fillId="34" borderId="0" xfId="0" applyFont="1" applyFill="1" applyAlignment="1">
      <alignment/>
    </xf>
    <xf numFmtId="0" fontId="7" fillId="34" borderId="11" xfId="0" applyFont="1" applyFill="1" applyBorder="1" applyAlignment="1">
      <alignment/>
    </xf>
    <xf numFmtId="0" fontId="10" fillId="34" borderId="21" xfId="0" applyFont="1" applyFill="1" applyBorder="1" applyAlignment="1">
      <alignment/>
    </xf>
    <xf numFmtId="0" fontId="3" fillId="34" borderId="0" xfId="0" applyFont="1" applyFill="1" applyBorder="1" applyAlignment="1">
      <alignment horizontal="center"/>
    </xf>
    <xf numFmtId="49" fontId="5" fillId="34" borderId="0" xfId="0" applyNumberFormat="1" applyFont="1" applyFill="1" applyBorder="1" applyAlignment="1">
      <alignment/>
    </xf>
    <xf numFmtId="0" fontId="3" fillId="34" borderId="0" xfId="0" applyFont="1" applyFill="1" applyBorder="1" applyAlignment="1">
      <alignment/>
    </xf>
    <xf numFmtId="0" fontId="3" fillId="34" borderId="0" xfId="0" applyFont="1" applyFill="1" applyBorder="1" applyAlignment="1">
      <alignment horizontal="left"/>
    </xf>
    <xf numFmtId="166" fontId="5" fillId="34" borderId="0" xfId="0" applyNumberFormat="1" applyFont="1" applyFill="1" applyBorder="1" applyAlignment="1">
      <alignment horizontal="right"/>
    </xf>
    <xf numFmtId="166" fontId="3" fillId="34" borderId="0" xfId="0" applyNumberFormat="1" applyFont="1" applyFill="1" applyBorder="1" applyAlignment="1">
      <alignment/>
    </xf>
    <xf numFmtId="172" fontId="3" fillId="34" borderId="0" xfId="0" applyNumberFormat="1" applyFont="1" applyFill="1" applyBorder="1" applyAlignment="1">
      <alignment/>
    </xf>
    <xf numFmtId="164" fontId="3" fillId="34" borderId="0" xfId="0" applyNumberFormat="1" applyFont="1" applyFill="1" applyBorder="1" applyAlignment="1">
      <alignment/>
    </xf>
    <xf numFmtId="165" fontId="3" fillId="34" borderId="0" xfId="0" applyNumberFormat="1" applyFont="1" applyFill="1" applyBorder="1" applyAlignment="1">
      <alignment/>
    </xf>
    <xf numFmtId="2" fontId="3" fillId="34" borderId="0" xfId="0" applyNumberFormat="1" applyFont="1" applyFill="1" applyBorder="1" applyAlignment="1">
      <alignment/>
    </xf>
    <xf numFmtId="0" fontId="3" fillId="36" borderId="0" xfId="0" applyFont="1" applyFill="1" applyBorder="1" applyAlignment="1">
      <alignment horizontal="center"/>
    </xf>
    <xf numFmtId="172" fontId="3" fillId="36" borderId="0" xfId="0" applyNumberFormat="1" applyFont="1" applyFill="1" applyBorder="1" applyAlignment="1">
      <alignment horizontal="center"/>
    </xf>
    <xf numFmtId="0" fontId="3" fillId="36" borderId="0" xfId="0" applyFont="1" applyFill="1" applyBorder="1" applyAlignment="1">
      <alignment horizontal="center" wrapText="1"/>
    </xf>
    <xf numFmtId="0" fontId="3" fillId="36" borderId="11" xfId="0" applyFont="1" applyFill="1" applyBorder="1" applyAlignment="1">
      <alignment horizontal="center"/>
    </xf>
    <xf numFmtId="0" fontId="3" fillId="36" borderId="11" xfId="0" applyFont="1" applyFill="1" applyBorder="1" applyAlignment="1">
      <alignment horizontal="center" vertical="justify" wrapText="1"/>
    </xf>
    <xf numFmtId="0" fontId="3" fillId="36" borderId="10" xfId="0" applyFont="1" applyFill="1" applyBorder="1" applyAlignment="1">
      <alignment horizontal="center"/>
    </xf>
    <xf numFmtId="0" fontId="3" fillId="36" borderId="10" xfId="0" applyFont="1" applyFill="1" applyBorder="1" applyAlignment="1">
      <alignment horizontal="center" wrapText="1"/>
    </xf>
    <xf numFmtId="172" fontId="3" fillId="36" borderId="10" xfId="0" applyNumberFormat="1" applyFont="1" applyFill="1" applyBorder="1" applyAlignment="1">
      <alignment horizontal="center"/>
    </xf>
    <xf numFmtId="0" fontId="5" fillId="0" borderId="22" xfId="0" applyFont="1" applyFill="1" applyBorder="1" applyAlignment="1">
      <alignment/>
    </xf>
    <xf numFmtId="0" fontId="3" fillId="0" borderId="22" xfId="0" applyFont="1" applyFill="1" applyBorder="1" applyAlignment="1">
      <alignment/>
    </xf>
    <xf numFmtId="0" fontId="3" fillId="36" borderId="23" xfId="0" applyFont="1" applyFill="1" applyBorder="1" applyAlignment="1">
      <alignment horizontal="center" vertical="justify" wrapText="1"/>
    </xf>
    <xf numFmtId="0" fontId="3" fillId="36" borderId="24" xfId="0" applyFont="1" applyFill="1" applyBorder="1" applyAlignment="1">
      <alignment horizontal="center"/>
    </xf>
    <xf numFmtId="0" fontId="5" fillId="34" borderId="22" xfId="0" applyFont="1" applyFill="1" applyBorder="1" applyAlignment="1">
      <alignment/>
    </xf>
    <xf numFmtId="2" fontId="5" fillId="34" borderId="22" xfId="0" applyNumberFormat="1" applyFont="1" applyFill="1" applyBorder="1" applyAlignment="1">
      <alignment/>
    </xf>
    <xf numFmtId="2" fontId="3" fillId="34" borderId="22" xfId="0" applyNumberFormat="1" applyFont="1" applyFill="1" applyBorder="1" applyAlignment="1">
      <alignment/>
    </xf>
    <xf numFmtId="172" fontId="3" fillId="36" borderId="24" xfId="0" applyNumberFormat="1" applyFont="1" applyFill="1" applyBorder="1" applyAlignment="1">
      <alignment horizontal="center"/>
    </xf>
    <xf numFmtId="172" fontId="3" fillId="34" borderId="22" xfId="0" applyNumberFormat="1" applyFont="1" applyFill="1" applyBorder="1" applyAlignment="1">
      <alignment/>
    </xf>
    <xf numFmtId="167" fontId="3" fillId="34" borderId="22" xfId="0" applyNumberFormat="1" applyFont="1" applyFill="1" applyBorder="1" applyAlignment="1">
      <alignment/>
    </xf>
    <xf numFmtId="0" fontId="3" fillId="36" borderId="20" xfId="0" applyFont="1" applyFill="1" applyBorder="1" applyAlignment="1">
      <alignment horizontal="center"/>
    </xf>
    <xf numFmtId="0" fontId="3" fillId="36" borderId="17" xfId="0" applyFont="1" applyFill="1" applyBorder="1" applyAlignment="1">
      <alignment horizontal="center"/>
    </xf>
    <xf numFmtId="164" fontId="5" fillId="34" borderId="19" xfId="0" applyNumberFormat="1" applyFont="1" applyFill="1" applyBorder="1" applyAlignment="1">
      <alignment/>
    </xf>
    <xf numFmtId="165" fontId="3" fillId="34" borderId="19" xfId="0" applyNumberFormat="1" applyFont="1" applyFill="1" applyBorder="1" applyAlignment="1">
      <alignment/>
    </xf>
    <xf numFmtId="164" fontId="3" fillId="34" borderId="19" xfId="0" applyNumberFormat="1" applyFont="1" applyFill="1" applyBorder="1" applyAlignment="1">
      <alignment/>
    </xf>
    <xf numFmtId="0" fontId="5" fillId="36" borderId="11" xfId="0" applyFont="1" applyFill="1" applyBorder="1" applyAlignment="1">
      <alignment horizontal="center"/>
    </xf>
    <xf numFmtId="0" fontId="3" fillId="34" borderId="19" xfId="0" applyFont="1" applyFill="1" applyBorder="1" applyAlignment="1">
      <alignment/>
    </xf>
    <xf numFmtId="0" fontId="3" fillId="34" borderId="10" xfId="0" applyFont="1" applyFill="1" applyBorder="1" applyAlignment="1">
      <alignment/>
    </xf>
    <xf numFmtId="0" fontId="5" fillId="34" borderId="10" xfId="0" applyFont="1" applyFill="1" applyBorder="1" applyAlignment="1">
      <alignment/>
    </xf>
    <xf numFmtId="166" fontId="3" fillId="34" borderId="10" xfId="0" applyNumberFormat="1" applyFont="1" applyFill="1" applyBorder="1" applyAlignment="1">
      <alignment/>
    </xf>
    <xf numFmtId="2" fontId="3" fillId="34" borderId="10" xfId="0" applyNumberFormat="1" applyFont="1" applyFill="1" applyBorder="1" applyAlignment="1">
      <alignment/>
    </xf>
    <xf numFmtId="164" fontId="3" fillId="34" borderId="10" xfId="0" applyNumberFormat="1" applyFont="1" applyFill="1" applyBorder="1" applyAlignment="1">
      <alignment/>
    </xf>
    <xf numFmtId="2" fontId="5" fillId="34" borderId="24" xfId="0" applyNumberFormat="1" applyFont="1" applyFill="1" applyBorder="1" applyAlignment="1">
      <alignment/>
    </xf>
    <xf numFmtId="0" fontId="16" fillId="34" borderId="0" xfId="0" applyFont="1" applyFill="1" applyBorder="1" applyAlignment="1">
      <alignment/>
    </xf>
    <xf numFmtId="43" fontId="5" fillId="34" borderId="0" xfId="42" applyNumberFormat="1" applyFont="1" applyFill="1" applyBorder="1" applyAlignment="1">
      <alignment horizontal="right"/>
    </xf>
    <xf numFmtId="181" fontId="5" fillId="34" borderId="0" xfId="42" applyNumberFormat="1" applyFont="1" applyFill="1" applyBorder="1" applyAlignment="1">
      <alignment horizontal="right"/>
    </xf>
    <xf numFmtId="164" fontId="5" fillId="34" borderId="0" xfId="42" applyNumberFormat="1" applyFont="1" applyFill="1" applyBorder="1" applyAlignment="1">
      <alignment horizontal="right"/>
    </xf>
    <xf numFmtId="43" fontId="5" fillId="34" borderId="0" xfId="42" applyNumberFormat="1" applyFont="1" applyFill="1" applyBorder="1" applyAlignment="1">
      <alignment horizontal="left"/>
    </xf>
    <xf numFmtId="181" fontId="5" fillId="34" borderId="0" xfId="42" applyNumberFormat="1" applyFont="1" applyFill="1" applyBorder="1" applyAlignment="1">
      <alignment horizontal="center"/>
    </xf>
    <xf numFmtId="4" fontId="5" fillId="34" borderId="0" xfId="42" applyNumberFormat="1" applyFont="1" applyFill="1" applyBorder="1" applyAlignment="1">
      <alignment horizontal="right"/>
    </xf>
    <xf numFmtId="181" fontId="5" fillId="34" borderId="0" xfId="42" applyNumberFormat="1" applyFont="1" applyFill="1" applyBorder="1" applyAlignment="1">
      <alignment horizontal="left"/>
    </xf>
    <xf numFmtId="0" fontId="15" fillId="34" borderId="0" xfId="0" applyFont="1" applyFill="1" applyBorder="1" applyAlignment="1">
      <alignment/>
    </xf>
    <xf numFmtId="2" fontId="0" fillId="34" borderId="0" xfId="0" applyNumberFormat="1" applyFill="1" applyBorder="1" applyAlignment="1">
      <alignment horizontal="center"/>
    </xf>
    <xf numFmtId="0" fontId="4" fillId="34" borderId="0" xfId="0" applyFont="1" applyFill="1" applyBorder="1" applyAlignment="1">
      <alignment/>
    </xf>
    <xf numFmtId="2" fontId="7" fillId="34" borderId="0" xfId="0" applyNumberFormat="1" applyFont="1" applyFill="1" applyBorder="1" applyAlignment="1">
      <alignment/>
    </xf>
    <xf numFmtId="2" fontId="0" fillId="34" borderId="0" xfId="0" applyNumberFormat="1" applyFont="1" applyFill="1" applyBorder="1" applyAlignment="1">
      <alignment/>
    </xf>
    <xf numFmtId="0" fontId="7" fillId="34" borderId="0" xfId="0" applyFont="1" applyFill="1" applyBorder="1" applyAlignment="1">
      <alignment horizontal="center" vertical="center"/>
    </xf>
    <xf numFmtId="0" fontId="3" fillId="34" borderId="25" xfId="0" applyFont="1" applyFill="1" applyBorder="1" applyAlignment="1">
      <alignment/>
    </xf>
    <xf numFmtId="2" fontId="5" fillId="34" borderId="25" xfId="0" applyNumberFormat="1" applyFont="1" applyFill="1" applyBorder="1" applyAlignment="1">
      <alignment/>
    </xf>
    <xf numFmtId="164" fontId="5" fillId="34" borderId="22" xfId="0" applyNumberFormat="1" applyFont="1" applyFill="1" applyBorder="1" applyAlignment="1">
      <alignment/>
    </xf>
    <xf numFmtId="0" fontId="5" fillId="34" borderId="25" xfId="0" applyFont="1" applyFill="1" applyBorder="1" applyAlignment="1">
      <alignment/>
    </xf>
    <xf numFmtId="0" fontId="3" fillId="34" borderId="26" xfId="0" applyFont="1" applyFill="1" applyBorder="1" applyAlignment="1">
      <alignment/>
    </xf>
    <xf numFmtId="2" fontId="5" fillId="34" borderId="10" xfId="0" applyNumberFormat="1" applyFont="1" applyFill="1" applyBorder="1" applyAlignment="1">
      <alignment/>
    </xf>
    <xf numFmtId="2" fontId="3" fillId="34" borderId="26" xfId="0" applyNumberFormat="1" applyFont="1" applyFill="1" applyBorder="1" applyAlignment="1">
      <alignment/>
    </xf>
    <xf numFmtId="164" fontId="3" fillId="34" borderId="24" xfId="0" applyNumberFormat="1" applyFont="1" applyFill="1" applyBorder="1" applyAlignment="1">
      <alignment/>
    </xf>
    <xf numFmtId="164" fontId="3" fillId="34" borderId="17" xfId="0" applyNumberFormat="1" applyFont="1" applyFill="1" applyBorder="1" applyAlignment="1">
      <alignment/>
    </xf>
    <xf numFmtId="2" fontId="5" fillId="34" borderId="23" xfId="0" applyNumberFormat="1" applyFont="1" applyFill="1" applyBorder="1" applyAlignment="1">
      <alignment/>
    </xf>
    <xf numFmtId="2" fontId="3" fillId="34" borderId="0" xfId="46" applyNumberFormat="1" applyFont="1" applyFill="1" applyBorder="1" applyAlignment="1">
      <alignment/>
    </xf>
    <xf numFmtId="174" fontId="3" fillId="34" borderId="0" xfId="0" applyNumberFormat="1" applyFont="1" applyFill="1" applyBorder="1" applyAlignment="1">
      <alignment/>
    </xf>
    <xf numFmtId="164" fontId="3" fillId="34" borderId="22" xfId="0" applyNumberFormat="1" applyFont="1" applyFill="1" applyBorder="1" applyAlignment="1">
      <alignment/>
    </xf>
    <xf numFmtId="164" fontId="3" fillId="34" borderId="20" xfId="0" applyNumberFormat="1" applyFont="1" applyFill="1" applyBorder="1" applyAlignment="1">
      <alignment/>
    </xf>
    <xf numFmtId="166" fontId="3" fillId="34" borderId="26" xfId="0" applyNumberFormat="1" applyFont="1" applyFill="1" applyBorder="1" applyAlignment="1">
      <alignment/>
    </xf>
    <xf numFmtId="164" fontId="3" fillId="34" borderId="17" xfId="0" applyNumberFormat="1" applyFont="1" applyFill="1" applyBorder="1" applyAlignment="1">
      <alignment horizontal="right"/>
    </xf>
    <xf numFmtId="164" fontId="3" fillId="34" borderId="23" xfId="0" applyNumberFormat="1" applyFont="1" applyFill="1" applyBorder="1" applyAlignment="1">
      <alignment/>
    </xf>
    <xf numFmtId="0" fontId="3" fillId="2" borderId="0" xfId="0" applyFont="1" applyAlignment="1">
      <alignment/>
    </xf>
    <xf numFmtId="166" fontId="3" fillId="34" borderId="0" xfId="0" applyNumberFormat="1" applyFont="1" applyFill="1" applyBorder="1" applyAlignment="1">
      <alignment horizontal="center"/>
    </xf>
    <xf numFmtId="0" fontId="3" fillId="34" borderId="0" xfId="0" applyFont="1" applyFill="1" applyBorder="1" applyAlignment="1">
      <alignment horizontal="right"/>
    </xf>
    <xf numFmtId="2" fontId="3" fillId="34" borderId="0" xfId="0" applyNumberFormat="1" applyFont="1" applyFill="1" applyBorder="1" applyAlignment="1">
      <alignment horizontal="right"/>
    </xf>
    <xf numFmtId="164" fontId="3" fillId="34" borderId="0" xfId="0" applyNumberFormat="1" applyFont="1" applyFill="1" applyBorder="1" applyAlignment="1">
      <alignment horizontal="right"/>
    </xf>
    <xf numFmtId="0" fontId="5" fillId="34" borderId="0" xfId="0" applyFont="1" applyFill="1" applyBorder="1" applyAlignment="1">
      <alignment horizontal="left"/>
    </xf>
    <xf numFmtId="4" fontId="3" fillId="34" borderId="0" xfId="0" applyNumberFormat="1" applyFont="1" applyFill="1" applyBorder="1" applyAlignment="1">
      <alignment horizontal="right"/>
    </xf>
    <xf numFmtId="2" fontId="5" fillId="34" borderId="0" xfId="0" applyNumberFormat="1" applyFont="1" applyFill="1" applyBorder="1" applyAlignment="1">
      <alignment horizontal="left"/>
    </xf>
    <xf numFmtId="2" fontId="3" fillId="34" borderId="0" xfId="0" applyNumberFormat="1" applyFont="1" applyFill="1" applyBorder="1" applyAlignment="1">
      <alignment horizontal="left"/>
    </xf>
    <xf numFmtId="169" fontId="3" fillId="34" borderId="0" xfId="0" applyNumberFormat="1" applyFont="1" applyFill="1" applyBorder="1" applyAlignment="1">
      <alignment horizontal="center"/>
    </xf>
    <xf numFmtId="0" fontId="3" fillId="36" borderId="26" xfId="0" applyFont="1" applyFill="1" applyBorder="1" applyAlignment="1">
      <alignment horizontal="left" vertical="center"/>
    </xf>
    <xf numFmtId="0" fontId="3" fillId="36" borderId="0" xfId="0" applyFont="1" applyFill="1" applyBorder="1" applyAlignment="1">
      <alignment horizontal="left" vertical="center"/>
    </xf>
    <xf numFmtId="0" fontId="3" fillId="36" borderId="0" xfId="0" applyFont="1" applyFill="1" applyBorder="1" applyAlignment="1">
      <alignment horizontal="left" vertical="center" wrapText="1"/>
    </xf>
    <xf numFmtId="0" fontId="3" fillId="34" borderId="0" xfId="0" applyNumberFormat="1" applyFont="1" applyFill="1" applyBorder="1" applyAlignment="1">
      <alignment horizontal="left"/>
    </xf>
    <xf numFmtId="0" fontId="5" fillId="34" borderId="0" xfId="0" applyNumberFormat="1" applyFont="1" applyFill="1" applyBorder="1" applyAlignment="1">
      <alignment horizontal="left"/>
    </xf>
    <xf numFmtId="0" fontId="3" fillId="36" borderId="11" xfId="0" applyFont="1" applyFill="1" applyBorder="1" applyAlignment="1">
      <alignment horizontal="left"/>
    </xf>
    <xf numFmtId="0" fontId="3" fillId="36" borderId="10" xfId="0" applyFont="1" applyFill="1" applyBorder="1" applyAlignment="1">
      <alignment horizontal="left" vertical="center"/>
    </xf>
    <xf numFmtId="0" fontId="3" fillId="36" borderId="10" xfId="0" applyFont="1" applyFill="1" applyBorder="1" applyAlignment="1">
      <alignment horizontal="left" vertical="center" wrapText="1"/>
    </xf>
    <xf numFmtId="0" fontId="6" fillId="36" borderId="10" xfId="0" applyFont="1" applyFill="1" applyBorder="1" applyAlignment="1">
      <alignment horizontal="center"/>
    </xf>
    <xf numFmtId="0" fontId="5" fillId="34" borderId="10" xfId="0" applyFont="1" applyFill="1" applyBorder="1" applyAlignment="1">
      <alignment horizontal="right"/>
    </xf>
    <xf numFmtId="2" fontId="5" fillId="34" borderId="10" xfId="0" applyNumberFormat="1" applyFont="1" applyFill="1" applyBorder="1" applyAlignment="1">
      <alignment horizontal="left"/>
    </xf>
    <xf numFmtId="166" fontId="3" fillId="34" borderId="10" xfId="0" applyNumberFormat="1" applyFont="1" applyFill="1" applyBorder="1" applyAlignment="1">
      <alignment horizontal="right"/>
    </xf>
    <xf numFmtId="166" fontId="3" fillId="34" borderId="10" xfId="0" applyNumberFormat="1" applyFont="1" applyFill="1" applyBorder="1" applyAlignment="1">
      <alignment horizontal="center"/>
    </xf>
    <xf numFmtId="2" fontId="3" fillId="34" borderId="10" xfId="0" applyNumberFormat="1" applyFont="1" applyFill="1" applyBorder="1" applyAlignment="1">
      <alignment horizontal="right"/>
    </xf>
    <xf numFmtId="164" fontId="3" fillId="34" borderId="10" xfId="0" applyNumberFormat="1" applyFont="1" applyFill="1" applyBorder="1" applyAlignment="1">
      <alignment horizontal="right"/>
    </xf>
    <xf numFmtId="164" fontId="3" fillId="34" borderId="10" xfId="0" applyNumberFormat="1" applyFont="1" applyFill="1" applyBorder="1" applyAlignment="1">
      <alignment horizontal="center"/>
    </xf>
    <xf numFmtId="169" fontId="3" fillId="34" borderId="10" xfId="0" applyNumberFormat="1" applyFont="1" applyFill="1" applyBorder="1" applyAlignment="1">
      <alignment horizontal="right"/>
    </xf>
    <xf numFmtId="169" fontId="3" fillId="34" borderId="10" xfId="0" applyNumberFormat="1" applyFont="1" applyFill="1" applyBorder="1" applyAlignment="1">
      <alignment horizontal="center"/>
    </xf>
    <xf numFmtId="4" fontId="3" fillId="34" borderId="10" xfId="0" applyNumberFormat="1" applyFont="1" applyFill="1" applyBorder="1" applyAlignment="1">
      <alignment horizontal="right"/>
    </xf>
    <xf numFmtId="0" fontId="5" fillId="36" borderId="23" xfId="0" applyFont="1" applyFill="1" applyBorder="1" applyAlignment="1">
      <alignment horizontal="center"/>
    </xf>
    <xf numFmtId="0" fontId="5" fillId="36" borderId="24" xfId="0" applyFont="1" applyFill="1" applyBorder="1" applyAlignment="1">
      <alignment horizontal="center"/>
    </xf>
    <xf numFmtId="0" fontId="3" fillId="34" borderId="22" xfId="0" applyFont="1" applyFill="1" applyBorder="1" applyAlignment="1">
      <alignment horizontal="left"/>
    </xf>
    <xf numFmtId="2" fontId="5" fillId="34" borderId="22" xfId="0" applyNumberFormat="1" applyFont="1" applyFill="1" applyBorder="1" applyAlignment="1">
      <alignment horizontal="left"/>
    </xf>
    <xf numFmtId="2" fontId="5" fillId="34" borderId="24" xfId="0" applyNumberFormat="1" applyFont="1" applyFill="1" applyBorder="1" applyAlignment="1">
      <alignment horizontal="left"/>
    </xf>
    <xf numFmtId="2" fontId="3" fillId="34" borderId="22" xfId="0" applyNumberFormat="1" applyFont="1" applyFill="1" applyBorder="1" applyAlignment="1">
      <alignment horizontal="left"/>
    </xf>
    <xf numFmtId="0" fontId="5" fillId="34" borderId="22" xfId="0" applyFont="1" applyFill="1" applyBorder="1" applyAlignment="1">
      <alignment horizontal="left"/>
    </xf>
    <xf numFmtId="164" fontId="3" fillId="34" borderId="22" xfId="0" applyNumberFormat="1" applyFont="1" applyFill="1" applyBorder="1" applyAlignment="1">
      <alignment horizontal="right"/>
    </xf>
    <xf numFmtId="166" fontId="3" fillId="34" borderId="25" xfId="0" applyNumberFormat="1" applyFont="1" applyFill="1" applyBorder="1" applyAlignment="1">
      <alignment horizontal="right"/>
    </xf>
    <xf numFmtId="164" fontId="3" fillId="34" borderId="19" xfId="0" applyNumberFormat="1" applyFont="1" applyFill="1" applyBorder="1" applyAlignment="1">
      <alignment horizontal="right"/>
    </xf>
    <xf numFmtId="0" fontId="3" fillId="36" borderId="11" xfId="0" applyFont="1" applyFill="1" applyBorder="1" applyAlignment="1">
      <alignment horizontal="center"/>
    </xf>
    <xf numFmtId="0" fontId="3" fillId="36" borderId="23" xfId="0" applyFont="1" applyFill="1" applyBorder="1" applyAlignment="1">
      <alignment horizontal="center"/>
    </xf>
    <xf numFmtId="166" fontId="3" fillId="36" borderId="10" xfId="0" applyNumberFormat="1" applyFont="1" applyFill="1" applyBorder="1" applyAlignment="1">
      <alignment horizontal="center"/>
    </xf>
    <xf numFmtId="165" fontId="3" fillId="36" borderId="24" xfId="0" applyNumberFormat="1" applyFont="1" applyFill="1" applyBorder="1" applyAlignment="1">
      <alignment horizontal="center"/>
    </xf>
    <xf numFmtId="174" fontId="3" fillId="36" borderId="10" xfId="0" applyNumberFormat="1" applyFont="1" applyFill="1" applyBorder="1" applyAlignment="1">
      <alignment horizontal="center"/>
    </xf>
    <xf numFmtId="0" fontId="3" fillId="34" borderId="10" xfId="0" applyNumberFormat="1" applyFont="1" applyFill="1" applyBorder="1" applyAlignment="1">
      <alignment horizontal="left"/>
    </xf>
    <xf numFmtId="0" fontId="3" fillId="34" borderId="10" xfId="0" applyFont="1" applyFill="1" applyBorder="1" applyAlignment="1">
      <alignment horizontal="left"/>
    </xf>
    <xf numFmtId="164" fontId="5" fillId="34" borderId="25" xfId="0" applyNumberFormat="1" applyFont="1" applyFill="1" applyBorder="1" applyAlignment="1">
      <alignment/>
    </xf>
    <xf numFmtId="174" fontId="5" fillId="34" borderId="22" xfId="0" applyNumberFormat="1" applyFont="1" applyFill="1" applyBorder="1" applyAlignment="1">
      <alignment/>
    </xf>
    <xf numFmtId="0" fontId="4" fillId="2" borderId="12" xfId="0" applyFont="1" applyBorder="1" applyAlignment="1">
      <alignment horizontal="center"/>
    </xf>
    <xf numFmtId="0" fontId="4" fillId="2" borderId="13" xfId="0" applyFont="1" applyBorder="1" applyAlignment="1">
      <alignment horizontal="center"/>
    </xf>
    <xf numFmtId="0" fontId="0" fillId="2" borderId="21" xfId="0" applyFont="1" applyBorder="1" applyAlignment="1">
      <alignment/>
    </xf>
    <xf numFmtId="0" fontId="4" fillId="34" borderId="25" xfId="0" applyFont="1" applyFill="1" applyBorder="1" applyAlignment="1">
      <alignment/>
    </xf>
    <xf numFmtId="0" fontId="0" fillId="34" borderId="25" xfId="0" applyFont="1" applyFill="1" applyBorder="1" applyAlignment="1">
      <alignment/>
    </xf>
    <xf numFmtId="0" fontId="4" fillId="2" borderId="21" xfId="0" applyFont="1" applyBorder="1" applyAlignment="1">
      <alignment/>
    </xf>
    <xf numFmtId="43" fontId="0" fillId="34" borderId="0" xfId="42" applyFont="1" applyFill="1" applyAlignment="1">
      <alignment/>
    </xf>
    <xf numFmtId="43" fontId="4" fillId="34" borderId="0" xfId="42" applyFont="1" applyFill="1" applyAlignment="1">
      <alignment/>
    </xf>
    <xf numFmtId="43" fontId="0" fillId="34" borderId="0" xfId="42" applyFont="1" applyFill="1" applyAlignment="1">
      <alignment/>
    </xf>
    <xf numFmtId="43" fontId="0" fillId="34" borderId="0" xfId="42" applyFont="1" applyFill="1" applyBorder="1" applyAlignment="1">
      <alignment horizontal="right"/>
    </xf>
    <xf numFmtId="43" fontId="4" fillId="34" borderId="0" xfId="42" applyFont="1" applyFill="1" applyBorder="1" applyAlignment="1">
      <alignment horizontal="right"/>
    </xf>
    <xf numFmtId="0" fontId="3" fillId="36" borderId="11" xfId="0" applyFont="1" applyFill="1" applyBorder="1" applyAlignment="1">
      <alignment vertical="top"/>
    </xf>
    <xf numFmtId="0" fontId="3" fillId="36" borderId="11" xfId="0" applyFont="1" applyFill="1" applyBorder="1" applyAlignment="1">
      <alignment horizontal="center" vertical="justify"/>
    </xf>
    <xf numFmtId="0" fontId="3" fillId="36" borderId="25" xfId="0" applyFont="1" applyFill="1" applyBorder="1" applyAlignment="1">
      <alignment horizontal="left" vertical="center"/>
    </xf>
    <xf numFmtId="0" fontId="3" fillId="36" borderId="22" xfId="0" applyFont="1" applyFill="1" applyBorder="1" applyAlignment="1">
      <alignment horizontal="center"/>
    </xf>
    <xf numFmtId="172" fontId="3" fillId="36" borderId="25" xfId="0" applyNumberFormat="1" applyFont="1" applyFill="1" applyBorder="1" applyAlignment="1">
      <alignment horizontal="center"/>
    </xf>
    <xf numFmtId="172" fontId="3" fillId="36" borderId="22" xfId="0" applyNumberFormat="1" applyFont="1" applyFill="1" applyBorder="1" applyAlignment="1">
      <alignment horizontal="center"/>
    </xf>
    <xf numFmtId="0" fontId="3" fillId="36" borderId="19" xfId="0" applyFont="1" applyFill="1" applyBorder="1" applyAlignment="1">
      <alignment horizontal="center"/>
    </xf>
    <xf numFmtId="164" fontId="5" fillId="34" borderId="19" xfId="0" applyNumberFormat="1" applyFont="1" applyFill="1" applyBorder="1" applyAlignment="1">
      <alignment horizontal="right"/>
    </xf>
    <xf numFmtId="2" fontId="3" fillId="34" borderId="25" xfId="0" applyNumberFormat="1" applyFont="1" applyFill="1" applyBorder="1" applyAlignment="1">
      <alignment/>
    </xf>
    <xf numFmtId="2" fontId="5" fillId="34" borderId="25" xfId="0" applyNumberFormat="1" applyFont="1" applyFill="1" applyBorder="1" applyAlignment="1">
      <alignment horizontal="right"/>
    </xf>
    <xf numFmtId="0" fontId="3" fillId="34" borderId="25" xfId="0" applyFont="1" applyFill="1" applyBorder="1" applyAlignment="1">
      <alignment horizontal="right"/>
    </xf>
    <xf numFmtId="166" fontId="3" fillId="34" borderId="25" xfId="0" applyNumberFormat="1" applyFont="1" applyFill="1" applyBorder="1" applyAlignment="1">
      <alignment/>
    </xf>
    <xf numFmtId="165" fontId="3" fillId="34" borderId="25" xfId="0" applyNumberFormat="1" applyFont="1" applyFill="1" applyBorder="1" applyAlignment="1">
      <alignment/>
    </xf>
    <xf numFmtId="166" fontId="5" fillId="34" borderId="25" xfId="0" applyNumberFormat="1" applyFont="1" applyFill="1" applyBorder="1" applyAlignment="1">
      <alignment horizontal="right"/>
    </xf>
    <xf numFmtId="166" fontId="5" fillId="34" borderId="25" xfId="0" applyNumberFormat="1" applyFont="1" applyFill="1" applyBorder="1" applyAlignment="1">
      <alignment/>
    </xf>
    <xf numFmtId="2" fontId="5" fillId="34" borderId="0" xfId="0" applyNumberFormat="1" applyFont="1" applyFill="1" applyBorder="1" applyAlignment="1">
      <alignment horizontal="center"/>
    </xf>
    <xf numFmtId="2" fontId="3" fillId="34" borderId="0" xfId="0" applyNumberFormat="1" applyFont="1" applyFill="1" applyBorder="1" applyAlignment="1">
      <alignment horizontal="center"/>
    </xf>
    <xf numFmtId="2" fontId="3" fillId="34" borderId="22" xfId="0" applyNumberFormat="1" applyFont="1" applyFill="1" applyBorder="1" applyAlignment="1">
      <alignment horizontal="right"/>
    </xf>
    <xf numFmtId="2" fontId="3" fillId="34" borderId="19" xfId="0" applyNumberFormat="1" applyFont="1" applyFill="1" applyBorder="1" applyAlignment="1">
      <alignment horizontal="right"/>
    </xf>
    <xf numFmtId="2" fontId="3" fillId="34" borderId="10" xfId="0" applyNumberFormat="1" applyFont="1" applyFill="1" applyBorder="1" applyAlignment="1">
      <alignment horizontal="center"/>
    </xf>
    <xf numFmtId="164" fontId="5" fillId="2" borderId="24" xfId="0" applyNumberFormat="1" applyFont="1" applyBorder="1" applyAlignment="1">
      <alignment/>
    </xf>
    <xf numFmtId="4" fontId="5" fillId="2" borderId="0" xfId="0" applyNumberFormat="1" applyFont="1" applyAlignment="1">
      <alignment horizontal="right"/>
    </xf>
    <xf numFmtId="4" fontId="3" fillId="36" borderId="24" xfId="0" applyNumberFormat="1" applyFont="1" applyFill="1" applyBorder="1" applyAlignment="1">
      <alignment horizontal="center"/>
    </xf>
    <xf numFmtId="4" fontId="3" fillId="34" borderId="10" xfId="0" applyNumberFormat="1" applyFont="1" applyFill="1" applyBorder="1" applyAlignment="1">
      <alignment/>
    </xf>
    <xf numFmtId="4" fontId="5" fillId="2" borderId="0" xfId="0" applyNumberFormat="1" applyFont="1" applyAlignment="1">
      <alignment/>
    </xf>
    <xf numFmtId="164" fontId="5" fillId="34" borderId="22" xfId="0" applyNumberFormat="1" applyFont="1" applyFill="1" applyBorder="1" applyAlignment="1">
      <alignment horizontal="right"/>
    </xf>
    <xf numFmtId="164" fontId="3" fillId="34" borderId="24" xfId="0" applyNumberFormat="1" applyFont="1" applyFill="1" applyBorder="1" applyAlignment="1">
      <alignment horizontal="right"/>
    </xf>
    <xf numFmtId="164" fontId="3" fillId="34" borderId="26" xfId="0" applyNumberFormat="1" applyFont="1" applyFill="1" applyBorder="1" applyAlignment="1">
      <alignment/>
    </xf>
    <xf numFmtId="164" fontId="3" fillId="34" borderId="25" xfId="0" applyNumberFormat="1" applyFont="1" applyFill="1" applyBorder="1" applyAlignment="1">
      <alignment/>
    </xf>
    <xf numFmtId="4" fontId="3" fillId="34" borderId="0" xfId="0" applyNumberFormat="1" applyFont="1" applyFill="1" applyBorder="1" applyAlignment="1">
      <alignment/>
    </xf>
    <xf numFmtId="4" fontId="5" fillId="34" borderId="0" xfId="0" applyNumberFormat="1" applyFont="1" applyFill="1" applyBorder="1" applyAlignment="1">
      <alignment horizontal="right"/>
    </xf>
    <xf numFmtId="0" fontId="3" fillId="34" borderId="0" xfId="0" applyFont="1" applyFill="1" applyBorder="1" applyAlignment="1">
      <alignment/>
    </xf>
    <xf numFmtId="0" fontId="5" fillId="34" borderId="0" xfId="0" applyFont="1" applyFill="1" applyBorder="1" applyAlignment="1">
      <alignment/>
    </xf>
    <xf numFmtId="0" fontId="3" fillId="34" borderId="10" xfId="0" applyFont="1" applyFill="1" applyBorder="1" applyAlignment="1">
      <alignment/>
    </xf>
    <xf numFmtId="0" fontId="5" fillId="34" borderId="0" xfId="0" applyNumberFormat="1" applyFont="1" applyFill="1" applyBorder="1" applyAlignment="1">
      <alignment horizontal="right"/>
    </xf>
    <xf numFmtId="0" fontId="3" fillId="34" borderId="0" xfId="0" applyNumberFormat="1" applyFont="1" applyFill="1" applyBorder="1" applyAlignment="1">
      <alignment horizontal="center"/>
    </xf>
    <xf numFmtId="0" fontId="5" fillId="2" borderId="0" xfId="0" applyFont="1" applyAlignment="1">
      <alignment/>
    </xf>
    <xf numFmtId="166" fontId="3" fillId="34" borderId="26" xfId="0" applyNumberFormat="1" applyFont="1" applyFill="1" applyBorder="1" applyAlignment="1">
      <alignment horizontal="right"/>
    </xf>
    <xf numFmtId="0" fontId="4" fillId="2" borderId="0" xfId="0" applyFont="1" applyBorder="1" applyAlignment="1">
      <alignment horizontal="left"/>
    </xf>
    <xf numFmtId="169" fontId="5" fillId="34" borderId="0" xfId="0" applyNumberFormat="1" applyFont="1" applyFill="1" applyBorder="1" applyAlignment="1">
      <alignment horizontal="center"/>
    </xf>
    <xf numFmtId="2" fontId="5" fillId="37" borderId="0" xfId="0" applyNumberFormat="1" applyFont="1" applyFill="1" applyBorder="1" applyAlignment="1">
      <alignment horizontal="right"/>
    </xf>
    <xf numFmtId="4" fontId="5" fillId="34" borderId="25" xfId="0" applyNumberFormat="1" applyFont="1" applyFill="1" applyBorder="1" applyAlignment="1">
      <alignment/>
    </xf>
    <xf numFmtId="4" fontId="3" fillId="34" borderId="26" xfId="0" applyNumberFormat="1" applyFont="1" applyFill="1" applyBorder="1" applyAlignment="1">
      <alignment/>
    </xf>
    <xf numFmtId="4" fontId="3" fillId="34" borderId="25" xfId="0" applyNumberFormat="1" applyFont="1" applyFill="1" applyBorder="1" applyAlignment="1">
      <alignment/>
    </xf>
    <xf numFmtId="4" fontId="5" fillId="34" borderId="25" xfId="0" applyNumberFormat="1" applyFont="1" applyFill="1" applyBorder="1" applyAlignment="1">
      <alignment horizontal="right"/>
    </xf>
    <xf numFmtId="4" fontId="3" fillId="34" borderId="25" xfId="0" applyNumberFormat="1" applyFont="1" applyFill="1" applyBorder="1" applyAlignment="1">
      <alignment horizontal="right"/>
    </xf>
    <xf numFmtId="4" fontId="3" fillId="34" borderId="26" xfId="0" applyNumberFormat="1" applyFont="1" applyFill="1" applyBorder="1" applyAlignment="1">
      <alignment horizontal="right"/>
    </xf>
    <xf numFmtId="43" fontId="3" fillId="2" borderId="26" xfId="42" applyFont="1" applyFill="1" applyBorder="1" applyAlignment="1">
      <alignment/>
    </xf>
    <xf numFmtId="164" fontId="5" fillId="2" borderId="22" xfId="0" applyNumberFormat="1" applyFont="1" applyBorder="1" applyAlignment="1">
      <alignment/>
    </xf>
    <xf numFmtId="2" fontId="5" fillId="34" borderId="11" xfId="0" applyNumberFormat="1" applyFont="1" applyFill="1" applyBorder="1" applyAlignment="1">
      <alignment/>
    </xf>
    <xf numFmtId="164" fontId="3" fillId="34" borderId="27" xfId="0" applyNumberFormat="1" applyFont="1" applyFill="1" applyBorder="1" applyAlignment="1">
      <alignment/>
    </xf>
    <xf numFmtId="164" fontId="3" fillId="34" borderId="11" xfId="0" applyNumberFormat="1" applyFont="1" applyFill="1" applyBorder="1" applyAlignment="1">
      <alignment/>
    </xf>
    <xf numFmtId="0" fontId="10" fillId="34" borderId="0" xfId="0" applyFont="1" applyFill="1" applyBorder="1" applyAlignment="1">
      <alignment/>
    </xf>
    <xf numFmtId="0" fontId="4" fillId="34" borderId="0" xfId="0" applyFont="1" applyFill="1" applyBorder="1" applyAlignment="1">
      <alignment/>
    </xf>
    <xf numFmtId="0" fontId="0" fillId="34" borderId="0" xfId="0" applyFont="1" applyFill="1" applyBorder="1" applyAlignment="1">
      <alignment/>
    </xf>
    <xf numFmtId="0" fontId="0" fillId="34" borderId="0" xfId="0" applyNumberFormat="1" applyFont="1" applyFill="1" applyBorder="1" applyAlignment="1">
      <alignment horizontal="right"/>
    </xf>
    <xf numFmtId="0" fontId="4" fillId="34" borderId="0" xfId="0" applyNumberFormat="1" applyFont="1" applyFill="1" applyBorder="1" applyAlignment="1">
      <alignment horizontal="center"/>
    </xf>
    <xf numFmtId="4" fontId="7" fillId="34" borderId="0" xfId="0" applyNumberFormat="1" applyFont="1" applyFill="1" applyBorder="1" applyAlignment="1">
      <alignment/>
    </xf>
    <xf numFmtId="164" fontId="10" fillId="34" borderId="0" xfId="0" applyNumberFormat="1" applyFont="1" applyFill="1" applyBorder="1" applyAlignment="1">
      <alignment/>
    </xf>
    <xf numFmtId="0" fontId="10" fillId="34" borderId="10" xfId="0" applyFont="1" applyFill="1" applyBorder="1" applyAlignment="1">
      <alignment/>
    </xf>
    <xf numFmtId="43" fontId="7" fillId="34" borderId="0" xfId="42" applyFont="1" applyFill="1" applyBorder="1" applyAlignment="1">
      <alignment/>
    </xf>
    <xf numFmtId="43" fontId="7" fillId="34" borderId="0" xfId="42" applyFont="1" applyFill="1" applyAlignment="1">
      <alignment/>
    </xf>
    <xf numFmtId="43" fontId="7" fillId="34" borderId="10" xfId="42" applyFont="1" applyFill="1" applyBorder="1" applyAlignment="1">
      <alignment/>
    </xf>
    <xf numFmtId="43" fontId="7" fillId="34" borderId="21" xfId="42" applyFont="1" applyFill="1" applyBorder="1" applyAlignment="1">
      <alignment/>
    </xf>
    <xf numFmtId="43" fontId="10" fillId="34" borderId="0" xfId="42" applyFont="1" applyFill="1" applyBorder="1" applyAlignment="1">
      <alignment/>
    </xf>
    <xf numFmtId="43" fontId="10" fillId="34" borderId="0" xfId="42" applyFont="1" applyFill="1" applyAlignment="1">
      <alignment/>
    </xf>
    <xf numFmtId="43" fontId="10" fillId="34" borderId="21" xfId="42" applyFont="1" applyFill="1" applyBorder="1" applyAlignment="1">
      <alignment/>
    </xf>
    <xf numFmtId="43" fontId="10" fillId="34" borderId="10" xfId="42" applyFont="1" applyFill="1" applyBorder="1" applyAlignment="1">
      <alignment/>
    </xf>
    <xf numFmtId="0" fontId="0" fillId="2" borderId="25" xfId="0" applyBorder="1" applyAlignment="1">
      <alignment/>
    </xf>
    <xf numFmtId="0" fontId="5" fillId="3" borderId="0" xfId="0" applyFont="1" applyFill="1" applyBorder="1" applyAlignment="1">
      <alignment/>
    </xf>
    <xf numFmtId="0" fontId="5" fillId="3" borderId="0" xfId="0" applyFont="1" applyFill="1" applyBorder="1" applyAlignment="1">
      <alignment/>
    </xf>
    <xf numFmtId="2" fontId="5" fillId="3" borderId="0" xfId="0" applyNumberFormat="1" applyFont="1" applyFill="1" applyBorder="1" applyAlignment="1">
      <alignment horizontal="left"/>
    </xf>
    <xf numFmtId="166" fontId="5" fillId="3" borderId="25" xfId="0" applyNumberFormat="1" applyFont="1" applyFill="1" applyBorder="1" applyAlignment="1">
      <alignment horizontal="right"/>
    </xf>
    <xf numFmtId="172" fontId="5" fillId="3" borderId="0" xfId="0" applyNumberFormat="1" applyFont="1" applyFill="1" applyBorder="1" applyAlignment="1">
      <alignment horizontal="right"/>
    </xf>
    <xf numFmtId="165" fontId="5" fillId="3" borderId="0" xfId="0" applyNumberFormat="1" applyFont="1" applyFill="1" applyBorder="1" applyAlignment="1">
      <alignment horizontal="right"/>
    </xf>
    <xf numFmtId="165" fontId="5" fillId="3" borderId="25" xfId="0" applyNumberFormat="1" applyFont="1" applyFill="1" applyBorder="1" applyAlignment="1">
      <alignment/>
    </xf>
    <xf numFmtId="164" fontId="5" fillId="3" borderId="0" xfId="0" applyNumberFormat="1" applyFont="1" applyFill="1" applyBorder="1" applyAlignment="1">
      <alignment horizontal="center"/>
    </xf>
    <xf numFmtId="0" fontId="5" fillId="3" borderId="0" xfId="0" applyFont="1" applyFill="1" applyBorder="1" applyAlignment="1">
      <alignment horizontal="right"/>
    </xf>
    <xf numFmtId="2" fontId="5" fillId="3" borderId="25" xfId="0" applyNumberFormat="1" applyFont="1" applyFill="1" applyBorder="1" applyAlignment="1">
      <alignment horizontal="right"/>
    </xf>
    <xf numFmtId="164" fontId="5" fillId="3" borderId="0" xfId="0" applyNumberFormat="1" applyFont="1" applyFill="1" applyBorder="1" applyAlignment="1">
      <alignment/>
    </xf>
    <xf numFmtId="165" fontId="5" fillId="3" borderId="25" xfId="0" applyNumberFormat="1" applyFont="1" applyFill="1" applyBorder="1" applyAlignment="1">
      <alignment horizontal="right"/>
    </xf>
    <xf numFmtId="172" fontId="5" fillId="3" borderId="0" xfId="0" applyNumberFormat="1" applyFont="1" applyFill="1" applyBorder="1" applyAlignment="1">
      <alignment/>
    </xf>
    <xf numFmtId="164" fontId="7" fillId="2" borderId="0" xfId="0" applyNumberFormat="1" applyFont="1" applyBorder="1" applyAlignment="1">
      <alignment/>
    </xf>
    <xf numFmtId="0" fontId="7" fillId="2" borderId="0" xfId="0" applyFont="1" applyBorder="1" applyAlignment="1">
      <alignment/>
    </xf>
    <xf numFmtId="0" fontId="4" fillId="2" borderId="10" xfId="0" applyFont="1" applyBorder="1" applyAlignment="1">
      <alignment horizontal="left"/>
    </xf>
    <xf numFmtId="0" fontId="0" fillId="2" borderId="0" xfId="0" applyFont="1" applyAlignment="1">
      <alignment horizontal="right"/>
    </xf>
    <xf numFmtId="3" fontId="0" fillId="2" borderId="0" xfId="0" applyNumberFormat="1" applyFont="1" applyAlignment="1">
      <alignment horizontal="right"/>
    </xf>
    <xf numFmtId="0" fontId="0" fillId="2" borderId="10" xfId="0" applyFont="1" applyBorder="1" applyAlignment="1">
      <alignment horizontal="center"/>
    </xf>
    <xf numFmtId="3" fontId="0" fillId="2" borderId="10" xfId="0" applyNumberFormat="1" applyFont="1" applyBorder="1" applyAlignment="1">
      <alignment horizontal="right"/>
    </xf>
    <xf numFmtId="0" fontId="0" fillId="36" borderId="0" xfId="0" applyFont="1" applyFill="1" applyAlignment="1">
      <alignment horizontal="center"/>
    </xf>
    <xf numFmtId="0" fontId="0" fillId="36" borderId="0" xfId="0" applyFont="1" applyFill="1" applyAlignment="1">
      <alignment horizontal="right"/>
    </xf>
    <xf numFmtId="0" fontId="0" fillId="36" borderId="0" xfId="0" applyFill="1" applyAlignment="1">
      <alignment horizontal="center"/>
    </xf>
    <xf numFmtId="181" fontId="0" fillId="2" borderId="0" xfId="42" applyNumberFormat="1" applyFont="1" applyFill="1" applyAlignment="1">
      <alignment horizontal="right"/>
    </xf>
    <xf numFmtId="181" fontId="0" fillId="2" borderId="0" xfId="42" applyNumberFormat="1" applyFont="1" applyFill="1" applyAlignment="1">
      <alignment horizontal="left"/>
    </xf>
    <xf numFmtId="181" fontId="0" fillId="2" borderId="0" xfId="42" applyNumberFormat="1" applyFont="1" applyFill="1" applyAlignment="1">
      <alignment/>
    </xf>
    <xf numFmtId="181" fontId="0" fillId="2" borderId="0" xfId="0" applyNumberFormat="1" applyAlignment="1">
      <alignment/>
    </xf>
    <xf numFmtId="181" fontId="0" fillId="2" borderId="10" xfId="42" applyNumberFormat="1" applyFont="1" applyFill="1" applyBorder="1" applyAlignment="1">
      <alignment horizontal="right"/>
    </xf>
    <xf numFmtId="181" fontId="0" fillId="2" borderId="10" xfId="42" applyNumberFormat="1" applyFont="1" applyFill="1" applyBorder="1" applyAlignment="1">
      <alignment horizontal="left"/>
    </xf>
    <xf numFmtId="181" fontId="0" fillId="2" borderId="10" xfId="42" applyNumberFormat="1" applyFont="1" applyFill="1" applyBorder="1" applyAlignment="1">
      <alignment/>
    </xf>
    <xf numFmtId="181" fontId="0" fillId="2" borderId="10" xfId="0" applyNumberFormat="1" applyBorder="1" applyAlignment="1">
      <alignment/>
    </xf>
    <xf numFmtId="0" fontId="3" fillId="2" borderId="0" xfId="0" applyFont="1" applyBorder="1" applyAlignment="1">
      <alignment/>
    </xf>
    <xf numFmtId="0" fontId="5" fillId="2" borderId="0" xfId="0" applyFont="1" applyBorder="1" applyAlignment="1">
      <alignment/>
    </xf>
    <xf numFmtId="0" fontId="4" fillId="36" borderId="28" xfId="0" applyNumberFormat="1" applyFont="1" applyFill="1" applyBorder="1" applyAlignment="1">
      <alignment horizontal="left" vertical="center" wrapText="1"/>
    </xf>
    <xf numFmtId="0" fontId="4" fillId="36" borderId="29" xfId="0" applyNumberFormat="1" applyFont="1" applyFill="1" applyBorder="1" applyAlignment="1">
      <alignment vertical="center" wrapText="1"/>
    </xf>
    <xf numFmtId="0" fontId="4" fillId="36" borderId="21" xfId="42" applyNumberFormat="1" applyFont="1" applyFill="1" applyBorder="1" applyAlignment="1">
      <alignment horizontal="center" vertical="center" wrapText="1"/>
    </xf>
    <xf numFmtId="0" fontId="4" fillId="36" borderId="18" xfId="42" applyNumberFormat="1" applyFont="1" applyFill="1" applyBorder="1" applyAlignment="1">
      <alignment horizontal="center" vertical="center" wrapText="1"/>
    </xf>
    <xf numFmtId="0" fontId="4" fillId="36" borderId="28" xfId="42" applyNumberFormat="1" applyFont="1" applyFill="1" applyBorder="1" applyAlignment="1">
      <alignment horizontal="center" vertical="center" wrapText="1"/>
    </xf>
    <xf numFmtId="0" fontId="4" fillId="36" borderId="18" xfId="0" applyFont="1" applyFill="1" applyBorder="1" applyAlignment="1">
      <alignment horizontal="center" vertical="center" wrapText="1"/>
    </xf>
    <xf numFmtId="0" fontId="12" fillId="34" borderId="0" xfId="0" applyFont="1" applyFill="1" applyBorder="1" applyAlignment="1">
      <alignment/>
    </xf>
    <xf numFmtId="164" fontId="0" fillId="34" borderId="0" xfId="0" applyNumberFormat="1" applyFill="1" applyBorder="1" applyAlignment="1">
      <alignment/>
    </xf>
    <xf numFmtId="0" fontId="12" fillId="34" borderId="23" xfId="0" applyFont="1" applyFill="1" applyBorder="1" applyAlignment="1">
      <alignment horizontal="center"/>
    </xf>
    <xf numFmtId="0" fontId="12" fillId="34" borderId="22" xfId="0" applyFont="1" applyFill="1" applyBorder="1" applyAlignment="1">
      <alignment horizontal="center"/>
    </xf>
    <xf numFmtId="0" fontId="13" fillId="34" borderId="22" xfId="0" applyFont="1" applyFill="1" applyBorder="1" applyAlignment="1">
      <alignment horizontal="center"/>
    </xf>
    <xf numFmtId="0" fontId="7" fillId="34" borderId="22" xfId="0" applyFont="1" applyFill="1" applyBorder="1" applyAlignment="1">
      <alignment horizontal="center"/>
    </xf>
    <xf numFmtId="0" fontId="7" fillId="34" borderId="24" xfId="0" applyFont="1" applyFill="1" applyBorder="1" applyAlignment="1">
      <alignment horizontal="center"/>
    </xf>
    <xf numFmtId="43" fontId="7" fillId="34" borderId="0" xfId="42" applyFont="1" applyFill="1" applyBorder="1" applyAlignment="1">
      <alignment horizontal="right"/>
    </xf>
    <xf numFmtId="43" fontId="7" fillId="34" borderId="0" xfId="42" applyFont="1" applyFill="1" applyBorder="1" applyAlignment="1">
      <alignment horizontal="left"/>
    </xf>
    <xf numFmtId="43" fontId="7" fillId="34" borderId="23" xfId="42" applyFont="1" applyFill="1" applyBorder="1" applyAlignment="1">
      <alignment horizontal="left"/>
    </xf>
    <xf numFmtId="43" fontId="7" fillId="34" borderId="20" xfId="42" applyFont="1" applyFill="1" applyBorder="1" applyAlignment="1">
      <alignment horizontal="left"/>
    </xf>
    <xf numFmtId="43" fontId="7" fillId="34" borderId="20" xfId="42" applyFont="1" applyFill="1" applyBorder="1" applyAlignment="1">
      <alignment/>
    </xf>
    <xf numFmtId="43" fontId="10" fillId="34" borderId="20" xfId="42" applyFont="1" applyFill="1" applyBorder="1" applyAlignment="1">
      <alignment/>
    </xf>
    <xf numFmtId="43" fontId="7" fillId="34" borderId="22" xfId="42" applyFont="1" applyFill="1" applyBorder="1" applyAlignment="1">
      <alignment horizontal="left"/>
    </xf>
    <xf numFmtId="43" fontId="7" fillId="34" borderId="19" xfId="42" applyFont="1" applyFill="1" applyBorder="1" applyAlignment="1">
      <alignment horizontal="left"/>
    </xf>
    <xf numFmtId="43" fontId="7" fillId="34" borderId="22" xfId="42" applyFont="1" applyFill="1" applyBorder="1" applyAlignment="1">
      <alignment/>
    </xf>
    <xf numFmtId="43" fontId="7" fillId="34" borderId="19" xfId="42" applyFont="1" applyFill="1" applyBorder="1" applyAlignment="1">
      <alignment/>
    </xf>
    <xf numFmtId="43" fontId="10" fillId="34" borderId="19" xfId="42" applyFont="1" applyFill="1" applyBorder="1" applyAlignment="1">
      <alignment/>
    </xf>
    <xf numFmtId="43" fontId="7" fillId="34" borderId="10" xfId="42" applyFont="1" applyFill="1" applyBorder="1" applyAlignment="1">
      <alignment horizontal="right"/>
    </xf>
    <xf numFmtId="43" fontId="7" fillId="34" borderId="10" xfId="42" applyFont="1" applyFill="1" applyBorder="1" applyAlignment="1">
      <alignment horizontal="left"/>
    </xf>
    <xf numFmtId="43" fontId="7" fillId="34" borderId="24" xfId="42" applyFont="1" applyFill="1" applyBorder="1" applyAlignment="1">
      <alignment horizontal="left"/>
    </xf>
    <xf numFmtId="43" fontId="7" fillId="34" borderId="17" xfId="42" applyFont="1" applyFill="1" applyBorder="1" applyAlignment="1">
      <alignment horizontal="left"/>
    </xf>
    <xf numFmtId="43" fontId="7" fillId="34" borderId="24" xfId="42" applyFont="1" applyFill="1" applyBorder="1" applyAlignment="1">
      <alignment/>
    </xf>
    <xf numFmtId="43" fontId="7" fillId="34" borderId="17" xfId="42" applyFont="1" applyFill="1" applyBorder="1" applyAlignment="1">
      <alignment/>
    </xf>
    <xf numFmtId="43" fontId="10" fillId="34" borderId="17" xfId="42" applyFont="1" applyFill="1" applyBorder="1" applyAlignment="1">
      <alignment/>
    </xf>
    <xf numFmtId="2" fontId="5" fillId="34" borderId="0" xfId="0" applyNumberFormat="1" applyFont="1" applyFill="1" applyBorder="1" applyAlignment="1">
      <alignment/>
    </xf>
    <xf numFmtId="0" fontId="0" fillId="34" borderId="0" xfId="0" applyFont="1" applyFill="1" applyBorder="1" applyAlignment="1">
      <alignment/>
    </xf>
    <xf numFmtId="164" fontId="5" fillId="0" borderId="0" xfId="0" applyNumberFormat="1" applyFont="1" applyFill="1" applyBorder="1" applyAlignment="1">
      <alignment/>
    </xf>
    <xf numFmtId="164" fontId="5" fillId="2" borderId="0" xfId="0" applyNumberFormat="1" applyFont="1" applyAlignment="1">
      <alignment/>
    </xf>
    <xf numFmtId="2" fontId="5" fillId="2" borderId="0" xfId="0" applyNumberFormat="1" applyFont="1" applyAlignment="1">
      <alignment/>
    </xf>
    <xf numFmtId="166" fontId="5" fillId="2" borderId="0" xfId="0" applyNumberFormat="1" applyFont="1" applyAlignment="1">
      <alignment/>
    </xf>
    <xf numFmtId="164" fontId="5" fillId="0" borderId="0" xfId="0" applyNumberFormat="1" applyFont="1" applyFill="1" applyAlignment="1">
      <alignment/>
    </xf>
    <xf numFmtId="2" fontId="5" fillId="0" borderId="0" xfId="0" applyNumberFormat="1" applyFont="1" applyFill="1" applyAlignment="1">
      <alignment/>
    </xf>
    <xf numFmtId="166" fontId="5" fillId="0" borderId="0" xfId="0" applyNumberFormat="1" applyFont="1" applyFill="1" applyAlignment="1">
      <alignment/>
    </xf>
    <xf numFmtId="4" fontId="5" fillId="0" borderId="0" xfId="0" applyNumberFormat="1" applyFont="1" applyFill="1" applyAlignment="1">
      <alignment/>
    </xf>
    <xf numFmtId="0" fontId="3" fillId="34" borderId="0" xfId="0" applyFont="1" applyFill="1" applyBorder="1" applyAlignment="1">
      <alignment/>
    </xf>
    <xf numFmtId="164" fontId="5" fillId="0" borderId="0" xfId="0" applyNumberFormat="1" applyFont="1" applyFill="1" applyAlignment="1">
      <alignment horizontal="center" vertical="center"/>
    </xf>
    <xf numFmtId="0" fontId="5" fillId="0" borderId="0" xfId="0" applyFont="1" applyFill="1" applyAlignment="1">
      <alignment horizontal="center"/>
    </xf>
    <xf numFmtId="164" fontId="17" fillId="0" borderId="0" xfId="0" applyNumberFormat="1" applyFont="1" applyFill="1" applyBorder="1" applyAlignment="1">
      <alignment/>
    </xf>
    <xf numFmtId="164" fontId="5" fillId="0" borderId="22" xfId="0" applyNumberFormat="1" applyFont="1" applyFill="1" applyBorder="1" applyAlignment="1">
      <alignment/>
    </xf>
    <xf numFmtId="2" fontId="5" fillId="2" borderId="22" xfId="0" applyNumberFormat="1" applyFont="1" applyBorder="1" applyAlignment="1">
      <alignment/>
    </xf>
    <xf numFmtId="2" fontId="5" fillId="0" borderId="22" xfId="0" applyNumberFormat="1" applyFont="1" applyFill="1" applyBorder="1" applyAlignment="1">
      <alignment/>
    </xf>
    <xf numFmtId="2" fontId="5" fillId="34" borderId="0" xfId="0" applyNumberFormat="1" applyFont="1" applyFill="1" applyBorder="1" applyAlignment="1">
      <alignment/>
    </xf>
    <xf numFmtId="164" fontId="5" fillId="34" borderId="0" xfId="0" applyNumberFormat="1" applyFont="1" applyFill="1" applyBorder="1" applyAlignment="1">
      <alignment/>
    </xf>
    <xf numFmtId="0" fontId="0" fillId="34" borderId="0" xfId="0" applyFont="1" applyFill="1" applyBorder="1" applyAlignment="1">
      <alignment/>
    </xf>
    <xf numFmtId="0" fontId="5" fillId="34" borderId="0" xfId="0" applyFont="1" applyFill="1" applyBorder="1" applyAlignment="1">
      <alignment/>
    </xf>
    <xf numFmtId="0" fontId="3" fillId="34" borderId="0" xfId="0" applyFont="1" applyFill="1" applyBorder="1" applyAlignment="1">
      <alignment/>
    </xf>
    <xf numFmtId="0" fontId="0" fillId="34" borderId="0" xfId="0" applyFill="1" applyAlignment="1">
      <alignment/>
    </xf>
    <xf numFmtId="2" fontId="5" fillId="34" borderId="0" xfId="0" applyNumberFormat="1" applyFont="1" applyFill="1" applyBorder="1" applyAlignment="1">
      <alignment/>
    </xf>
    <xf numFmtId="164" fontId="5" fillId="34" borderId="0" xfId="0" applyNumberFormat="1" applyFont="1" applyFill="1" applyBorder="1" applyAlignment="1">
      <alignment/>
    </xf>
    <xf numFmtId="0" fontId="7" fillId="34" borderId="0" xfId="0" applyFont="1" applyFill="1" applyBorder="1" applyAlignment="1">
      <alignment/>
    </xf>
    <xf numFmtId="0" fontId="0" fillId="34" borderId="0" xfId="0" applyFont="1" applyFill="1" applyBorder="1" applyAlignment="1">
      <alignment/>
    </xf>
    <xf numFmtId="0" fontId="5" fillId="34" borderId="0" xfId="0" applyFont="1" applyFill="1" applyBorder="1" applyAlignment="1">
      <alignment/>
    </xf>
    <xf numFmtId="3" fontId="5" fillId="0" borderId="0" xfId="0" applyNumberFormat="1" applyFont="1" applyFill="1" applyAlignment="1">
      <alignment horizontal="center" vertical="center"/>
    </xf>
    <xf numFmtId="0" fontId="7" fillId="34" borderId="21" xfId="0" applyFont="1" applyFill="1" applyBorder="1" applyAlignment="1">
      <alignment/>
    </xf>
    <xf numFmtId="166" fontId="5" fillId="2" borderId="0" xfId="61" applyNumberFormat="1" applyFont="1">
      <alignment/>
      <protection/>
    </xf>
    <xf numFmtId="164" fontId="5" fillId="0" borderId="0" xfId="61" applyNumberFormat="1" applyFont="1" applyFill="1">
      <alignment/>
      <protection/>
    </xf>
    <xf numFmtId="4" fontId="5" fillId="0" borderId="0" xfId="61" applyNumberFormat="1" applyFont="1" applyFill="1">
      <alignment/>
      <protection/>
    </xf>
    <xf numFmtId="3" fontId="5" fillId="0" borderId="0" xfId="61" applyNumberFormat="1" applyFont="1" applyFill="1" applyAlignment="1">
      <alignment horizontal="center" vertical="center"/>
      <protection/>
    </xf>
    <xf numFmtId="0" fontId="5" fillId="0" borderId="0" xfId="61" applyFont="1" applyFill="1">
      <alignment/>
      <protection/>
    </xf>
    <xf numFmtId="2" fontId="5" fillId="2" borderId="22" xfId="61" applyNumberFormat="1" applyFont="1" applyBorder="1">
      <alignment/>
      <protection/>
    </xf>
    <xf numFmtId="164" fontId="5" fillId="2" borderId="22" xfId="61" applyNumberFormat="1" applyFont="1" applyBorder="1">
      <alignment/>
      <protection/>
    </xf>
    <xf numFmtId="165" fontId="5" fillId="0" borderId="19" xfId="0" applyNumberFormat="1" applyFont="1" applyFill="1" applyBorder="1" applyAlignment="1">
      <alignment horizontal="right"/>
    </xf>
    <xf numFmtId="0" fontId="0" fillId="2" borderId="0" xfId="0" applyFont="1" applyAlignment="1">
      <alignment horizontal="left" vertical="top" wrapText="1"/>
    </xf>
    <xf numFmtId="0" fontId="4" fillId="2" borderId="0" xfId="0" applyFont="1" applyAlignment="1">
      <alignment horizontal="center"/>
    </xf>
    <xf numFmtId="49" fontId="0" fillId="2" borderId="0" xfId="0" applyNumberFormat="1" applyFont="1" applyAlignment="1">
      <alignment horizontal="center"/>
    </xf>
    <xf numFmtId="0" fontId="0" fillId="2" borderId="0" xfId="0" applyFont="1" applyAlignment="1">
      <alignment horizontal="left" vertical="top" wrapText="1" readingOrder="1"/>
    </xf>
    <xf numFmtId="0" fontId="53" fillId="2" borderId="0" xfId="0" applyFont="1" applyAlignment="1">
      <alignment horizontal="left" vertical="top" wrapText="1"/>
    </xf>
    <xf numFmtId="0" fontId="4" fillId="2" borderId="0" xfId="0" applyFont="1" applyAlignment="1">
      <alignment horizontal="left"/>
    </xf>
    <xf numFmtId="0" fontId="0" fillId="2" borderId="0" xfId="0" applyFont="1" applyAlignment="1">
      <alignment horizontal="left" wrapText="1"/>
    </xf>
    <xf numFmtId="0" fontId="0" fillId="2" borderId="0" xfId="0" applyAlignment="1">
      <alignment wrapText="1"/>
    </xf>
    <xf numFmtId="0" fontId="0" fillId="2" borderId="12" xfId="0" applyFont="1" applyBorder="1" applyAlignment="1">
      <alignment horizontal="center"/>
    </xf>
    <xf numFmtId="0" fontId="4" fillId="0" borderId="0" xfId="0" applyFont="1" applyFill="1" applyAlignment="1">
      <alignment horizontal="left"/>
    </xf>
    <xf numFmtId="0" fontId="10" fillId="2" borderId="0" xfId="0" applyFont="1" applyAlignment="1">
      <alignment horizontal="left"/>
    </xf>
    <xf numFmtId="0" fontId="0" fillId="34" borderId="0" xfId="0" applyFont="1" applyFill="1" applyBorder="1" applyAlignment="1">
      <alignment horizontal="center"/>
    </xf>
    <xf numFmtId="0" fontId="4" fillId="2" borderId="0" xfId="0" applyFont="1" applyBorder="1" applyAlignment="1">
      <alignment horizontal="left"/>
    </xf>
    <xf numFmtId="0" fontId="4" fillId="2" borderId="11" xfId="0" applyFont="1" applyBorder="1" applyAlignment="1">
      <alignment horizontal="center"/>
    </xf>
    <xf numFmtId="0" fontId="0" fillId="2" borderId="0" xfId="0" applyFont="1" applyAlignment="1">
      <alignment horizontal="center"/>
    </xf>
    <xf numFmtId="0" fontId="0" fillId="2" borderId="0" xfId="0" applyAlignment="1">
      <alignment horizontal="center"/>
    </xf>
    <xf numFmtId="0" fontId="3" fillId="36" borderId="27" xfId="0" applyFont="1" applyFill="1" applyBorder="1" applyAlignment="1">
      <alignment horizontal="center"/>
    </xf>
    <xf numFmtId="0" fontId="3" fillId="36" borderId="11" xfId="0" applyFont="1" applyFill="1" applyBorder="1" applyAlignment="1">
      <alignment horizontal="center"/>
    </xf>
    <xf numFmtId="0" fontId="3" fillId="36" borderId="23" xfId="0" applyFont="1" applyFill="1" applyBorder="1" applyAlignment="1">
      <alignment horizontal="center"/>
    </xf>
    <xf numFmtId="172" fontId="3" fillId="36" borderId="27" xfId="0" applyNumberFormat="1" applyFont="1" applyFill="1" applyBorder="1" applyAlignment="1">
      <alignment horizontal="center"/>
    </xf>
    <xf numFmtId="172" fontId="3" fillId="36" borderId="11" xfId="0" applyNumberFormat="1" applyFont="1" applyFill="1" applyBorder="1" applyAlignment="1">
      <alignment horizontal="center"/>
    </xf>
    <xf numFmtId="172" fontId="3" fillId="36" borderId="23" xfId="0" applyNumberFormat="1" applyFont="1" applyFill="1" applyBorder="1" applyAlignment="1">
      <alignment horizontal="center"/>
    </xf>
    <xf numFmtId="3" fontId="0" fillId="7" borderId="0" xfId="0" applyNumberFormat="1" applyFill="1" applyAlignment="1" applyProtection="1">
      <alignment/>
      <protection locked="0"/>
    </xf>
    <xf numFmtId="191" fontId="0" fillId="7" borderId="0" xfId="0" applyNumberFormat="1" applyFill="1" applyAlignment="1" applyProtection="1">
      <alignment/>
      <protection locked="0"/>
    </xf>
    <xf numFmtId="181" fontId="0" fillId="7" borderId="0" xfId="42" applyNumberFormat="1" applyFont="1" applyFill="1" applyAlignment="1" applyProtection="1">
      <alignment/>
      <protection locked="0"/>
    </xf>
    <xf numFmtId="164" fontId="0" fillId="7" borderId="0" xfId="0" applyNumberFormat="1" applyFill="1" applyAlignment="1" applyProtection="1">
      <alignment/>
      <protection locked="0"/>
    </xf>
    <xf numFmtId="165" fontId="0" fillId="7" borderId="0" xfId="0" applyNumberFormat="1" applyFill="1" applyAlignment="1" applyProtection="1">
      <alignment/>
      <protection locked="0"/>
    </xf>
    <xf numFmtId="10" fontId="0" fillId="7" borderId="0" xfId="0" applyNumberFormat="1" applyFill="1" applyBorder="1" applyAlignment="1" applyProtection="1">
      <alignment horizontal="center"/>
      <protection locked="0"/>
    </xf>
    <xf numFmtId="2" fontId="0" fillId="7" borderId="0" xfId="0" applyNumberFormat="1" applyFont="1" applyFill="1" applyBorder="1" applyAlignment="1" applyProtection="1">
      <alignment/>
      <protection locked="0"/>
    </xf>
    <xf numFmtId="0" fontId="0" fillId="7" borderId="0" xfId="0" applyFill="1" applyBorder="1" applyAlignment="1" applyProtection="1">
      <alignment/>
      <protection locked="0"/>
    </xf>
    <xf numFmtId="0" fontId="0" fillId="7" borderId="0" xfId="0" applyFill="1" applyAlignment="1" applyProtection="1">
      <alignment/>
      <protection locked="0"/>
    </xf>
    <xf numFmtId="2" fontId="0" fillId="7" borderId="0" xfId="0" applyNumberFormat="1" applyFill="1" applyBorder="1" applyAlignment="1" applyProtection="1">
      <alignment horizontal="center"/>
      <protection locked="0"/>
    </xf>
    <xf numFmtId="166" fontId="0" fillId="7" borderId="17" xfId="0" applyNumberFormat="1" applyFill="1" applyBorder="1" applyAlignment="1" applyProtection="1">
      <alignment horizontal="center" vertical="center"/>
      <protection locked="0"/>
    </xf>
    <xf numFmtId="166" fontId="0" fillId="7" borderId="18" xfId="0" applyNumberFormat="1" applyFill="1" applyBorder="1" applyAlignment="1" applyProtection="1">
      <alignment horizontal="center" vertical="center"/>
      <protection locked="0"/>
    </xf>
    <xf numFmtId="10" fontId="0" fillId="7" borderId="17" xfId="0" applyNumberFormat="1" applyFill="1" applyBorder="1" applyAlignment="1" applyProtection="1">
      <alignment horizontal="center" vertical="center"/>
      <protection locked="0"/>
    </xf>
    <xf numFmtId="10" fontId="0" fillId="7" borderId="18" xfId="0" applyNumberFormat="1" applyFill="1" applyBorder="1" applyAlignment="1" applyProtection="1">
      <alignment horizontal="center" vertical="center"/>
      <protection locked="0"/>
    </xf>
    <xf numFmtId="188" fontId="0" fillId="7" borderId="18" xfId="0" applyNumberFormat="1" applyFill="1" applyBorder="1" applyAlignment="1" applyProtection="1">
      <alignment horizontal="center" vertical="center"/>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inaFernandez1MacBookPro\Library\Containers\com.apple.mail\Data\Library\Mail%20Downloads\BB474497-E3D3-4C4A-AF5B-6BFD02ED4324\Oregon%20Organic%20Blackberry%20for%20Fresh%20Market%20Budget%20Program%202015%20updated%2002-03-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osydorovych\Desktop\NC%20Organic%20Blackberry%20Budget%20Program%202015%20updated%202-6-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Assumptions"/>
      <sheetName val="BYear0"/>
      <sheetName val="BYear1"/>
      <sheetName val="BYear2"/>
      <sheetName val="BYear3"/>
      <sheetName val="Returns"/>
      <sheetName val="Machinery"/>
      <sheetName val="Year0"/>
      <sheetName val="Year1"/>
      <sheetName val="Year2"/>
      <sheetName val="Year3"/>
    </sheetNames>
    <sheetDataSet>
      <sheetData sheetId="1">
        <row r="30">
          <cell r="G30">
            <v>2.5</v>
          </cell>
        </row>
        <row r="32">
          <cell r="G32">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Cover"/>
      <sheetName val="HOAssumptions"/>
      <sheetName val="HOPrep"/>
      <sheetName val="HOYear1"/>
      <sheetName val="HOYear2"/>
      <sheetName val="HOYear3"/>
      <sheetName val="Yields"/>
      <sheetName val="HOReturns"/>
      <sheetName val="Machinery"/>
      <sheetName val="Year0"/>
      <sheetName val="Year1"/>
      <sheetName val="Year2"/>
      <sheetName val="Year3"/>
    </sheetNames>
    <sheetDataSet>
      <sheetData sheetId="1">
        <row r="38">
          <cell r="G38">
            <v>10</v>
          </cell>
        </row>
        <row r="58">
          <cell r="G58">
            <v>100</v>
          </cell>
        </row>
        <row r="59">
          <cell r="G59">
            <v>40</v>
          </cell>
        </row>
        <row r="60">
          <cell r="G6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J22"/>
  <sheetViews>
    <sheetView zoomScalePageLayoutView="0" workbookViewId="0" topLeftCell="A5">
      <selection activeCell="A1" sqref="A1:J23"/>
    </sheetView>
  </sheetViews>
  <sheetFormatPr defaultColWidth="8.8515625" defaultRowHeight="12.75"/>
  <sheetData>
    <row r="1" spans="1:10" s="7" customFormat="1" ht="12.75">
      <c r="A1" s="448" t="s">
        <v>177</v>
      </c>
      <c r="B1" s="448"/>
      <c r="C1" s="448"/>
      <c r="D1" s="448"/>
      <c r="E1" s="448"/>
      <c r="F1" s="448"/>
      <c r="G1" s="448"/>
      <c r="H1" s="448"/>
      <c r="I1" s="448"/>
      <c r="J1" s="448"/>
    </row>
    <row r="2" spans="1:10" s="7" customFormat="1" ht="12.75">
      <c r="A2" s="448" t="s">
        <v>180</v>
      </c>
      <c r="B2" s="448"/>
      <c r="C2" s="448"/>
      <c r="D2" s="448"/>
      <c r="E2" s="448"/>
      <c r="F2" s="448"/>
      <c r="G2" s="448"/>
      <c r="H2" s="448"/>
      <c r="I2" s="448"/>
      <c r="J2" s="448"/>
    </row>
    <row r="3" spans="1:10" s="7" customFormat="1" ht="12.75">
      <c r="A3" s="448" t="s">
        <v>178</v>
      </c>
      <c r="B3" s="448"/>
      <c r="C3" s="448"/>
      <c r="D3" s="448"/>
      <c r="E3" s="448"/>
      <c r="F3" s="448"/>
      <c r="G3" s="448"/>
      <c r="H3" s="448"/>
      <c r="I3" s="448"/>
      <c r="J3" s="448"/>
    </row>
    <row r="4" spans="1:10" s="7" customFormat="1" ht="12.75">
      <c r="A4" s="449" t="s">
        <v>179</v>
      </c>
      <c r="B4" s="449"/>
      <c r="C4" s="449"/>
      <c r="D4" s="449"/>
      <c r="E4" s="449"/>
      <c r="F4" s="449"/>
      <c r="G4" s="449"/>
      <c r="H4" s="449"/>
      <c r="I4" s="449"/>
      <c r="J4" s="449"/>
    </row>
    <row r="5" spans="1:8" ht="7.5" customHeight="1">
      <c r="A5" s="63"/>
      <c r="C5" s="63"/>
      <c r="D5" s="63"/>
      <c r="E5" s="63"/>
      <c r="F5" s="63"/>
      <c r="G5" s="63"/>
      <c r="H5" s="63"/>
    </row>
    <row r="6" spans="1:8" ht="14.25">
      <c r="A6" s="63"/>
      <c r="B6" s="7" t="s">
        <v>128</v>
      </c>
      <c r="C6" s="63"/>
      <c r="D6" s="63"/>
      <c r="E6" s="63"/>
      <c r="F6" s="63"/>
      <c r="G6" s="63"/>
      <c r="H6" s="63"/>
    </row>
    <row r="7" spans="1:8" ht="7.5" customHeight="1">
      <c r="A7" s="63"/>
      <c r="C7" s="63"/>
      <c r="D7" s="63"/>
      <c r="E7" s="63"/>
      <c r="F7" s="63"/>
      <c r="G7" s="63"/>
      <c r="H7" s="63"/>
    </row>
    <row r="8" spans="1:8" ht="14.25">
      <c r="A8" s="63"/>
      <c r="B8" s="7" t="s">
        <v>181</v>
      </c>
      <c r="C8" s="63"/>
      <c r="D8" s="63"/>
      <c r="E8" s="63"/>
      <c r="F8" s="63"/>
      <c r="G8" s="63"/>
      <c r="H8" s="63"/>
    </row>
    <row r="9" spans="1:8" ht="14.25">
      <c r="A9" s="63"/>
      <c r="B9" s="7" t="s">
        <v>158</v>
      </c>
      <c r="C9" s="63"/>
      <c r="D9" s="63"/>
      <c r="E9" s="63"/>
      <c r="F9" s="63"/>
      <c r="G9" s="63"/>
      <c r="H9" s="63"/>
    </row>
    <row r="10" spans="1:8" ht="14.25">
      <c r="A10" s="63"/>
      <c r="B10" s="7" t="s">
        <v>124</v>
      </c>
      <c r="C10" s="63"/>
      <c r="D10" s="63"/>
      <c r="E10" s="63"/>
      <c r="F10" s="63"/>
      <c r="G10" s="63"/>
      <c r="H10" s="63"/>
    </row>
    <row r="11" spans="1:8" ht="7.5" customHeight="1">
      <c r="A11" s="63"/>
      <c r="B11" s="7"/>
      <c r="C11" s="63"/>
      <c r="D11" s="63"/>
      <c r="E11" s="63"/>
      <c r="F11" s="63"/>
      <c r="G11" s="63"/>
      <c r="H11" s="63"/>
    </row>
    <row r="12" ht="12.75">
      <c r="B12" s="7" t="s">
        <v>125</v>
      </c>
    </row>
    <row r="13" ht="12.75">
      <c r="B13" s="7" t="s">
        <v>285</v>
      </c>
    </row>
    <row r="14" ht="12.75">
      <c r="B14" s="7" t="s">
        <v>126</v>
      </c>
    </row>
    <row r="15" ht="7.5" customHeight="1">
      <c r="B15" s="7"/>
    </row>
    <row r="16" spans="2:10" ht="77.25" customHeight="1">
      <c r="B16" s="450" t="s">
        <v>286</v>
      </c>
      <c r="C16" s="450"/>
      <c r="D16" s="450"/>
      <c r="E16" s="450"/>
      <c r="F16" s="450"/>
      <c r="G16" s="450"/>
      <c r="H16" s="450"/>
      <c r="I16" s="450"/>
      <c r="J16" s="450"/>
    </row>
    <row r="17" spans="2:10" ht="7.5" customHeight="1">
      <c r="B17" s="64"/>
      <c r="C17" s="64"/>
      <c r="D17" s="64"/>
      <c r="E17" s="64"/>
      <c r="F17" s="64"/>
      <c r="G17" s="64"/>
      <c r="H17" s="64"/>
      <c r="I17" s="64"/>
      <c r="J17" s="64"/>
    </row>
    <row r="18" spans="2:10" ht="79.5" customHeight="1">
      <c r="B18" s="447" t="s">
        <v>287</v>
      </c>
      <c r="C18" s="447"/>
      <c r="D18" s="447"/>
      <c r="E18" s="447"/>
      <c r="F18" s="447"/>
      <c r="G18" s="447"/>
      <c r="H18" s="447"/>
      <c r="I18" s="447"/>
      <c r="J18" s="447"/>
    </row>
    <row r="19" spans="2:10" ht="7.5" customHeight="1">
      <c r="B19" s="65"/>
      <c r="C19" s="65"/>
      <c r="D19" s="65"/>
      <c r="E19" s="65"/>
      <c r="F19" s="65"/>
      <c r="G19" s="65"/>
      <c r="H19" s="65"/>
      <c r="I19" s="65"/>
      <c r="J19" s="65"/>
    </row>
    <row r="20" spans="2:10" ht="158.25" customHeight="1">
      <c r="B20" s="451" t="s">
        <v>314</v>
      </c>
      <c r="C20" s="447"/>
      <c r="D20" s="447"/>
      <c r="E20" s="447"/>
      <c r="F20" s="447"/>
      <c r="G20" s="447"/>
      <c r="H20" s="447"/>
      <c r="I20" s="447"/>
      <c r="J20" s="447"/>
    </row>
    <row r="21" spans="2:10" ht="7.5" customHeight="1">
      <c r="B21" s="65"/>
      <c r="C21" s="65"/>
      <c r="D21" s="65"/>
      <c r="E21" s="65"/>
      <c r="F21" s="65"/>
      <c r="G21" s="65"/>
      <c r="H21" s="65"/>
      <c r="I21" s="65"/>
      <c r="J21" s="65"/>
    </row>
    <row r="22" spans="2:10" ht="64.5" customHeight="1">
      <c r="B22" s="447" t="s">
        <v>127</v>
      </c>
      <c r="C22" s="447"/>
      <c r="D22" s="447"/>
      <c r="E22" s="447"/>
      <c r="F22" s="447"/>
      <c r="G22" s="447"/>
      <c r="H22" s="447"/>
      <c r="I22" s="447"/>
      <c r="J22" s="447"/>
    </row>
    <row r="23" ht="7.5" customHeight="1"/>
  </sheetData>
  <sheetProtection password="ECAF" sheet="1" selectLockedCells="1"/>
  <mergeCells count="8">
    <mergeCell ref="B22:J22"/>
    <mergeCell ref="A1:J1"/>
    <mergeCell ref="A2:J2"/>
    <mergeCell ref="A3:J3"/>
    <mergeCell ref="A4:J4"/>
    <mergeCell ref="B16:J16"/>
    <mergeCell ref="B18:J18"/>
    <mergeCell ref="B20:J20"/>
  </mergeCells>
  <printOptions/>
  <pageMargins left="0.7" right="0.7" top="0.61" bottom="0.49"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W37"/>
  <sheetViews>
    <sheetView showGridLines="0" zoomScalePageLayoutView="0" workbookViewId="0" topLeftCell="A1">
      <selection activeCell="A1" sqref="A1:Q34"/>
    </sheetView>
  </sheetViews>
  <sheetFormatPr defaultColWidth="11.421875" defaultRowHeight="12.75"/>
  <cols>
    <col min="1" max="1" width="5.421875" style="9" customWidth="1"/>
    <col min="2" max="2" width="7.28125" style="9" customWidth="1"/>
    <col min="3" max="3" width="11.7109375" style="9" customWidth="1"/>
    <col min="4" max="4" width="4.8515625" style="9" customWidth="1"/>
    <col min="5" max="5" width="26.140625" style="9" customWidth="1"/>
    <col min="6" max="6" width="9.00390625" style="9" customWidth="1"/>
    <col min="7" max="7" width="8.421875" style="91" customWidth="1"/>
    <col min="8" max="8" width="9.140625" style="91" customWidth="1"/>
    <col min="9" max="9" width="8.7109375" style="91" customWidth="1"/>
    <col min="10" max="10" width="11.421875" style="9" customWidth="1"/>
    <col min="11" max="11" width="7.421875" style="9" customWidth="1"/>
    <col min="12" max="12" width="15.00390625" style="91" customWidth="1"/>
    <col min="13" max="13" width="8.7109375" style="9" customWidth="1"/>
    <col min="14" max="14" width="10.421875" style="9" customWidth="1"/>
    <col min="15" max="15" width="11.421875" style="9" customWidth="1"/>
    <col min="16" max="16" width="12.28125" style="9" customWidth="1"/>
    <col min="17" max="17" width="13.421875" style="9" customWidth="1"/>
    <col min="18" max="18" width="3.00390625" style="9" customWidth="1"/>
    <col min="19" max="19" width="39.421875" style="9" customWidth="1"/>
    <col min="20" max="20" width="7.140625" style="9" customWidth="1"/>
    <col min="21" max="22" width="6.00390625" style="9" customWidth="1"/>
    <col min="23" max="23" width="8.7109375" style="9" customWidth="1"/>
    <col min="24" max="16384" width="11.421875" style="9" customWidth="1"/>
  </cols>
  <sheetData>
    <row r="1" spans="1:17" ht="11.25">
      <c r="A1" s="88" t="s">
        <v>22</v>
      </c>
      <c r="B1" s="89"/>
      <c r="C1" s="89"/>
      <c r="D1" s="89"/>
      <c r="E1" s="163"/>
      <c r="F1" s="89"/>
      <c r="G1" s="90"/>
      <c r="H1" s="90"/>
      <c r="I1" s="90"/>
      <c r="J1" s="89"/>
      <c r="K1" s="89"/>
      <c r="L1" s="90"/>
      <c r="M1" s="89"/>
      <c r="N1" s="89"/>
      <c r="O1" s="89"/>
      <c r="P1" s="89"/>
      <c r="Q1" s="89"/>
    </row>
    <row r="2" spans="1:17" ht="11.25">
      <c r="A2" s="88" t="s">
        <v>3</v>
      </c>
      <c r="B2" s="89"/>
      <c r="C2" s="89"/>
      <c r="D2" s="89"/>
      <c r="E2" s="164" t="s">
        <v>3</v>
      </c>
      <c r="F2" s="89"/>
      <c r="G2" s="90"/>
      <c r="H2" s="90"/>
      <c r="I2" s="90"/>
      <c r="J2" s="89"/>
      <c r="K2" s="13"/>
      <c r="L2" s="90" t="s">
        <v>3</v>
      </c>
      <c r="M2" s="89"/>
      <c r="N2" s="89"/>
      <c r="O2" s="89"/>
      <c r="P2" s="89"/>
      <c r="Q2" s="89"/>
    </row>
    <row r="3" spans="1:17" ht="12.75" customHeight="1">
      <c r="A3" s="158" t="s">
        <v>3</v>
      </c>
      <c r="B3" s="159"/>
      <c r="C3" s="159"/>
      <c r="D3" s="159"/>
      <c r="E3" s="165"/>
      <c r="F3" s="463" t="s">
        <v>50</v>
      </c>
      <c r="G3" s="464"/>
      <c r="H3" s="465"/>
      <c r="I3" s="466" t="s">
        <v>51</v>
      </c>
      <c r="J3" s="467"/>
      <c r="K3" s="467"/>
      <c r="L3" s="468"/>
      <c r="M3" s="463" t="s">
        <v>52</v>
      </c>
      <c r="N3" s="464"/>
      <c r="O3" s="465"/>
      <c r="P3" s="173" t="s">
        <v>5</v>
      </c>
      <c r="Q3" s="173" t="s">
        <v>6</v>
      </c>
    </row>
    <row r="4" spans="1:17" ht="12.75" customHeight="1">
      <c r="A4" s="227" t="s">
        <v>4</v>
      </c>
      <c r="B4" s="233" t="s">
        <v>207</v>
      </c>
      <c r="C4" s="234"/>
      <c r="D4" s="161"/>
      <c r="E4" s="166"/>
      <c r="F4" s="160" t="s">
        <v>7</v>
      </c>
      <c r="G4" s="162" t="s">
        <v>8</v>
      </c>
      <c r="H4" s="170" t="s">
        <v>9</v>
      </c>
      <c r="I4" s="162" t="s">
        <v>10</v>
      </c>
      <c r="J4" s="160" t="s">
        <v>11</v>
      </c>
      <c r="K4" s="160" t="s">
        <v>75</v>
      </c>
      <c r="L4" s="170" t="s">
        <v>12</v>
      </c>
      <c r="M4" s="160" t="s">
        <v>7</v>
      </c>
      <c r="N4" s="160" t="s">
        <v>8</v>
      </c>
      <c r="O4" s="166" t="s">
        <v>13</v>
      </c>
      <c r="P4" s="174" t="s">
        <v>14</v>
      </c>
      <c r="Q4" s="174" t="s">
        <v>14</v>
      </c>
    </row>
    <row r="5" spans="1:17" ht="11.25">
      <c r="A5" s="147" t="s">
        <v>23</v>
      </c>
      <c r="B5" s="53"/>
      <c r="C5" s="53"/>
      <c r="D5" s="53"/>
      <c r="E5" s="167"/>
      <c r="F5" s="147"/>
      <c r="G5" s="151"/>
      <c r="H5" s="171"/>
      <c r="I5" s="151"/>
      <c r="J5" s="145"/>
      <c r="K5" s="154"/>
      <c r="L5" s="171"/>
      <c r="M5" s="147"/>
      <c r="N5" s="305"/>
      <c r="O5" s="172"/>
      <c r="P5" s="177"/>
      <c r="Q5" s="179" t="s">
        <v>3</v>
      </c>
    </row>
    <row r="6" spans="1:17" ht="11.25">
      <c r="A6" s="53"/>
      <c r="B6" s="53" t="s">
        <v>18</v>
      </c>
      <c r="C6" s="53"/>
      <c r="D6" s="53"/>
      <c r="E6" s="168" t="s">
        <v>19</v>
      </c>
      <c r="F6" s="52" t="s">
        <v>3</v>
      </c>
      <c r="G6" s="52" t="s">
        <v>3</v>
      </c>
      <c r="H6" s="168"/>
      <c r="I6" s="54"/>
      <c r="J6" s="291"/>
      <c r="K6" s="52"/>
      <c r="L6" s="168"/>
      <c r="M6" s="52">
        <v>0.5</v>
      </c>
      <c r="N6" s="108">
        <f>HOAssumptions!G35</f>
        <v>10</v>
      </c>
      <c r="O6" s="202">
        <f>M6*N6</f>
        <v>5</v>
      </c>
      <c r="P6" s="175">
        <f>$O6+$L6+$H6</f>
        <v>5</v>
      </c>
      <c r="Q6" s="175"/>
    </row>
    <row r="7" spans="1:17" ht="11.25">
      <c r="A7" s="104"/>
      <c r="B7" s="53" t="s">
        <v>208</v>
      </c>
      <c r="C7" s="53"/>
      <c r="D7" s="53"/>
      <c r="E7" s="168"/>
      <c r="F7" s="52"/>
      <c r="G7" s="54"/>
      <c r="H7" s="202"/>
      <c r="I7" s="54">
        <v>2</v>
      </c>
      <c r="J7" s="291" t="s">
        <v>98</v>
      </c>
      <c r="K7" s="52">
        <v>1</v>
      </c>
      <c r="L7" s="202">
        <f>I7*K7</f>
        <v>2</v>
      </c>
      <c r="M7" s="52">
        <v>0.5</v>
      </c>
      <c r="N7" s="108">
        <f>HOAssumptions!G35</f>
        <v>10</v>
      </c>
      <c r="O7" s="202">
        <f>M7*N7</f>
        <v>5</v>
      </c>
      <c r="P7" s="175">
        <f>$O7+$L7+$H7</f>
        <v>7</v>
      </c>
      <c r="Q7" s="175"/>
    </row>
    <row r="8" spans="1:17" ht="11.25">
      <c r="A8" s="180" t="s">
        <v>24</v>
      </c>
      <c r="B8" s="181"/>
      <c r="C8" s="181"/>
      <c r="D8" s="181"/>
      <c r="E8" s="185"/>
      <c r="F8" s="183">
        <f>SUM(F6:F7)</f>
        <v>0</v>
      </c>
      <c r="G8" s="184"/>
      <c r="H8" s="207">
        <f>SUM(H6:H7)</f>
        <v>0</v>
      </c>
      <c r="I8" s="184"/>
      <c r="J8" s="183"/>
      <c r="K8" s="183"/>
      <c r="L8" s="207">
        <f>SUM(L6:L7)</f>
        <v>2</v>
      </c>
      <c r="M8" s="183">
        <f>SUM(M6:M7)</f>
        <v>1</v>
      </c>
      <c r="N8" s="184"/>
      <c r="O8" s="207">
        <f>SUM(O6:O7)</f>
        <v>10</v>
      </c>
      <c r="P8" s="208">
        <f>SUM(P6:P7)</f>
        <v>12</v>
      </c>
      <c r="Q8" s="208">
        <f>P8</f>
        <v>12</v>
      </c>
    </row>
    <row r="9" spans="1:17" ht="11.25">
      <c r="A9" s="147" t="s">
        <v>16</v>
      </c>
      <c r="B9" s="53"/>
      <c r="C9" s="53"/>
      <c r="D9" s="53"/>
      <c r="E9" s="169"/>
      <c r="F9" s="154"/>
      <c r="G9" s="152"/>
      <c r="H9" s="212"/>
      <c r="I9" s="152"/>
      <c r="J9" s="292"/>
      <c r="K9" s="154"/>
      <c r="L9" s="212"/>
      <c r="M9" s="154"/>
      <c r="N9" s="152"/>
      <c r="O9" s="212"/>
      <c r="P9" s="177"/>
      <c r="Q9" s="177" t="s">
        <v>3</v>
      </c>
    </row>
    <row r="10" spans="1:17" ht="11.25">
      <c r="A10" s="53"/>
      <c r="B10" s="53" t="s">
        <v>210</v>
      </c>
      <c r="C10" s="53"/>
      <c r="D10" s="53"/>
      <c r="E10" s="168"/>
      <c r="F10" s="52"/>
      <c r="G10" s="54"/>
      <c r="H10" s="202"/>
      <c r="I10" s="54"/>
      <c r="J10" s="291"/>
      <c r="K10" s="52"/>
      <c r="L10" s="202"/>
      <c r="M10" s="52">
        <v>24</v>
      </c>
      <c r="N10" s="108">
        <f>HOAssumptions!G35</f>
        <v>10</v>
      </c>
      <c r="O10" s="202">
        <f aca="true" t="shared" si="0" ref="O10:O15">+$N10*$M10</f>
        <v>240</v>
      </c>
      <c r="P10" s="175">
        <f aca="true" t="shared" si="1" ref="P10:P17">$O10+$L10+$H10</f>
        <v>240</v>
      </c>
      <c r="Q10" s="175"/>
    </row>
    <row r="11" spans="1:17" ht="11.25">
      <c r="A11" s="53"/>
      <c r="B11" s="53" t="s">
        <v>209</v>
      </c>
      <c r="C11" s="53"/>
      <c r="D11" s="53"/>
      <c r="E11" s="168" t="s">
        <v>69</v>
      </c>
      <c r="F11" s="52">
        <v>1.1</v>
      </c>
      <c r="G11" s="54">
        <f>Machinery!R5+Machinery!R12</f>
        <v>15.6616</v>
      </c>
      <c r="H11" s="202">
        <f>F11*G11</f>
        <v>17.22776</v>
      </c>
      <c r="I11" s="54"/>
      <c r="J11" s="291"/>
      <c r="K11" s="52"/>
      <c r="L11" s="202"/>
      <c r="M11" s="52">
        <f>+$F11*1.2</f>
        <v>1.32</v>
      </c>
      <c r="N11" s="108">
        <f>HOAssumptions!G36</f>
        <v>20</v>
      </c>
      <c r="O11" s="202">
        <f t="shared" si="0"/>
        <v>26.400000000000002</v>
      </c>
      <c r="P11" s="175">
        <f t="shared" si="1"/>
        <v>43.62776</v>
      </c>
      <c r="Q11" s="175"/>
    </row>
    <row r="12" spans="1:17" ht="11.25">
      <c r="A12" s="53"/>
      <c r="B12" s="53" t="s">
        <v>211</v>
      </c>
      <c r="C12" s="53"/>
      <c r="D12" s="53"/>
      <c r="E12" s="168" t="s">
        <v>20</v>
      </c>
      <c r="F12" s="52">
        <v>0.55</v>
      </c>
      <c r="G12" s="54">
        <f>Machinery!R5+Machinery!R13</f>
        <v>17.506933333333333</v>
      </c>
      <c r="H12" s="202">
        <f>F12*G12</f>
        <v>9.628813333333333</v>
      </c>
      <c r="I12" s="54"/>
      <c r="J12" s="291"/>
      <c r="K12" s="52"/>
      <c r="L12" s="202"/>
      <c r="M12" s="52">
        <f>+$F12*1.2</f>
        <v>0.66</v>
      </c>
      <c r="N12" s="108">
        <f>HOAssumptions!G36</f>
        <v>20</v>
      </c>
      <c r="O12" s="202">
        <f t="shared" si="0"/>
        <v>13.200000000000001</v>
      </c>
      <c r="P12" s="175">
        <f t="shared" si="1"/>
        <v>22.828813333333336</v>
      </c>
      <c r="Q12" s="175"/>
    </row>
    <row r="13" spans="1:17" ht="11.25">
      <c r="A13" s="53"/>
      <c r="B13" s="53" t="s">
        <v>212</v>
      </c>
      <c r="C13" s="53"/>
      <c r="D13" s="53"/>
      <c r="E13" s="168" t="s">
        <v>150</v>
      </c>
      <c r="F13" s="52">
        <v>0.35</v>
      </c>
      <c r="G13" s="54">
        <f>Machinery!R5+Machinery!R6</f>
        <v>13.856</v>
      </c>
      <c r="H13" s="202">
        <f>F13*G13</f>
        <v>4.8496</v>
      </c>
      <c r="I13" s="54">
        <v>40</v>
      </c>
      <c r="J13" s="291" t="s">
        <v>151</v>
      </c>
      <c r="K13" s="52">
        <v>1</v>
      </c>
      <c r="L13" s="202">
        <f>I13*K13</f>
        <v>40</v>
      </c>
      <c r="M13" s="52">
        <f>+$F13*1.2</f>
        <v>0.42</v>
      </c>
      <c r="N13" s="108">
        <f>HOAssumptions!G36</f>
        <v>20</v>
      </c>
      <c r="O13" s="202">
        <f t="shared" si="0"/>
        <v>8.4</v>
      </c>
      <c r="P13" s="175">
        <f t="shared" si="1"/>
        <v>53.2496</v>
      </c>
      <c r="Q13" s="175"/>
    </row>
    <row r="14" spans="1:17" ht="11.25">
      <c r="A14" s="53"/>
      <c r="B14" s="53" t="s">
        <v>149</v>
      </c>
      <c r="C14" s="146" t="s">
        <v>143</v>
      </c>
      <c r="D14" s="53"/>
      <c r="E14" s="168" t="s">
        <v>150</v>
      </c>
      <c r="F14" s="52">
        <v>0.35</v>
      </c>
      <c r="G14" s="54">
        <f>Machinery!R5+Machinery!R6</f>
        <v>13.856</v>
      </c>
      <c r="H14" s="202">
        <f>F14*G14</f>
        <v>4.8496</v>
      </c>
      <c r="I14" s="54">
        <v>1000</v>
      </c>
      <c r="J14" s="291" t="s">
        <v>151</v>
      </c>
      <c r="K14" s="52">
        <v>0.5</v>
      </c>
      <c r="L14" s="202">
        <f>I14*K14</f>
        <v>500</v>
      </c>
      <c r="M14" s="52">
        <f>+$F14*1.2</f>
        <v>0.42</v>
      </c>
      <c r="N14" s="108">
        <f>HOAssumptions!G36</f>
        <v>20</v>
      </c>
      <c r="O14" s="202">
        <f t="shared" si="0"/>
        <v>8.4</v>
      </c>
      <c r="P14" s="175">
        <f t="shared" si="1"/>
        <v>513.2496</v>
      </c>
      <c r="Q14" s="175"/>
    </row>
    <row r="15" spans="1:17" ht="11.25">
      <c r="A15" s="53"/>
      <c r="B15" s="9" t="s">
        <v>291</v>
      </c>
      <c r="E15" s="424" t="s">
        <v>292</v>
      </c>
      <c r="F15" s="417">
        <v>3</v>
      </c>
      <c r="G15" s="411">
        <f>Machinery!R5+Machinery!R7</f>
        <v>18.660266666666665</v>
      </c>
      <c r="H15" s="423">
        <f>F15*G15</f>
        <v>55.980799999999995</v>
      </c>
      <c r="I15" s="422" t="s">
        <v>3</v>
      </c>
      <c r="J15" s="421" t="s">
        <v>3</v>
      </c>
      <c r="K15" s="416" t="s">
        <v>3</v>
      </c>
      <c r="L15" s="202"/>
      <c r="M15" s="409">
        <f>+$F15*1.2</f>
        <v>3.5999999999999996</v>
      </c>
      <c r="N15" s="108">
        <f>HOAssumptions!G36</f>
        <v>20</v>
      </c>
      <c r="O15" s="202">
        <f t="shared" si="0"/>
        <v>72</v>
      </c>
      <c r="P15" s="202">
        <f t="shared" si="1"/>
        <v>127.98079999999999</v>
      </c>
      <c r="Q15" s="175"/>
    </row>
    <row r="16" spans="1:17" ht="11.25">
      <c r="A16" s="53"/>
      <c r="B16" s="413"/>
      <c r="C16" s="416" t="s">
        <v>293</v>
      </c>
      <c r="D16" s="89"/>
      <c r="E16" s="424" t="s">
        <v>3</v>
      </c>
      <c r="F16" s="417"/>
      <c r="G16" s="417"/>
      <c r="H16" s="423"/>
      <c r="I16" s="415">
        <v>0.54</v>
      </c>
      <c r="J16" s="420" t="s">
        <v>294</v>
      </c>
      <c r="K16" s="418">
        <v>60</v>
      </c>
      <c r="L16" s="202">
        <f>I16*K16</f>
        <v>32.400000000000006</v>
      </c>
      <c r="M16" s="414"/>
      <c r="N16" s="412"/>
      <c r="O16" s="324"/>
      <c r="P16" s="202">
        <f t="shared" si="1"/>
        <v>32.400000000000006</v>
      </c>
      <c r="Q16" s="175"/>
    </row>
    <row r="17" spans="1:17" ht="11.25">
      <c r="A17" s="53"/>
      <c r="B17" s="413"/>
      <c r="C17" s="416" t="s">
        <v>295</v>
      </c>
      <c r="D17" s="89"/>
      <c r="E17" s="424"/>
      <c r="F17" s="417"/>
      <c r="G17" s="417"/>
      <c r="H17" s="423"/>
      <c r="I17" s="415">
        <v>0.24</v>
      </c>
      <c r="J17" s="420" t="s">
        <v>294</v>
      </c>
      <c r="K17" s="418">
        <v>20</v>
      </c>
      <c r="L17" s="202">
        <f>I17*K17</f>
        <v>4.8</v>
      </c>
      <c r="M17" s="414"/>
      <c r="N17" s="412"/>
      <c r="O17" s="324"/>
      <c r="P17" s="202">
        <f t="shared" si="1"/>
        <v>4.8</v>
      </c>
      <c r="Q17" s="175"/>
    </row>
    <row r="18" spans="1:17" ht="11.25">
      <c r="A18" s="180" t="s">
        <v>17</v>
      </c>
      <c r="B18" s="181"/>
      <c r="C18" s="181"/>
      <c r="D18" s="181"/>
      <c r="E18" s="185"/>
      <c r="F18" s="183">
        <f>SUM(F10:F17)</f>
        <v>5.35</v>
      </c>
      <c r="G18" s="184"/>
      <c r="H18" s="207">
        <f>SUM(H10:H17)</f>
        <v>92.53657333333334</v>
      </c>
      <c r="I18" s="184"/>
      <c r="J18" s="183"/>
      <c r="K18" s="183"/>
      <c r="L18" s="207">
        <f>SUM(L10:L17)</f>
        <v>577.1999999999999</v>
      </c>
      <c r="M18" s="183">
        <f>SUM(M10:M17)</f>
        <v>30.42</v>
      </c>
      <c r="N18" s="184"/>
      <c r="O18" s="207">
        <f>SUM(O10:O17)</f>
        <v>368.3999999999999</v>
      </c>
      <c r="P18" s="208">
        <f>SUM(P10:P17)</f>
        <v>1038.1365733333334</v>
      </c>
      <c r="Q18" s="208">
        <f>Q8+P18</f>
        <v>1050.1365733333334</v>
      </c>
    </row>
    <row r="19" spans="1:17" ht="11.25">
      <c r="A19" s="147" t="s">
        <v>42</v>
      </c>
      <c r="B19" s="53"/>
      <c r="C19" s="53"/>
      <c r="D19" s="53"/>
      <c r="E19" s="168"/>
      <c r="F19" s="52"/>
      <c r="G19" s="54"/>
      <c r="H19" s="202"/>
      <c r="I19" s="54"/>
      <c r="J19" s="291"/>
      <c r="K19" s="52"/>
      <c r="L19" s="202"/>
      <c r="M19" s="52"/>
      <c r="N19" s="108"/>
      <c r="O19" s="202"/>
      <c r="P19" s="175"/>
      <c r="Q19" s="175"/>
    </row>
    <row r="20" spans="1:17" ht="11.25">
      <c r="A20" s="147"/>
      <c r="B20" s="9" t="s">
        <v>297</v>
      </c>
      <c r="E20" s="425" t="s">
        <v>298</v>
      </c>
      <c r="F20" s="417">
        <v>2</v>
      </c>
      <c r="G20" s="411">
        <f>Machinery!R5+Machinery!R11</f>
        <v>15.084933333333332</v>
      </c>
      <c r="H20" s="423">
        <f>F20*G20</f>
        <v>30.169866666666664</v>
      </c>
      <c r="I20" s="412"/>
      <c r="J20" s="92"/>
      <c r="K20" s="413"/>
      <c r="L20" s="324"/>
      <c r="M20" s="426">
        <f>$F20*1.2</f>
        <v>2.4</v>
      </c>
      <c r="N20" s="108">
        <f>HOAssumptions!G36</f>
        <v>20</v>
      </c>
      <c r="O20" s="202">
        <f>$N20*$M20</f>
        <v>48</v>
      </c>
      <c r="P20" s="175">
        <f aca="true" t="shared" si="2" ref="P20:P25">$O20+$L20+$H20</f>
        <v>78.16986666666666</v>
      </c>
      <c r="Q20" s="175"/>
    </row>
    <row r="21" spans="1:17" ht="11.25">
      <c r="A21" s="419"/>
      <c r="B21" s="9" t="s">
        <v>299</v>
      </c>
      <c r="E21" s="425" t="s">
        <v>300</v>
      </c>
      <c r="F21" s="417">
        <v>6</v>
      </c>
      <c r="G21" s="411">
        <f>Machinery!R5+Machinery!R14</f>
        <v>16.930266666666665</v>
      </c>
      <c r="H21" s="423">
        <f>F21*G21</f>
        <v>101.58159999999998</v>
      </c>
      <c r="I21" s="412"/>
      <c r="J21" s="92"/>
      <c r="K21" s="413"/>
      <c r="L21" s="324"/>
      <c r="M21" s="426">
        <f>$F21*1.2</f>
        <v>7.199999999999999</v>
      </c>
      <c r="N21" s="108">
        <f>HOAssumptions!G36</f>
        <v>20</v>
      </c>
      <c r="O21" s="202">
        <f>$N21*$M21</f>
        <v>144</v>
      </c>
      <c r="P21" s="175">
        <f t="shared" si="2"/>
        <v>245.58159999999998</v>
      </c>
      <c r="Q21" s="175"/>
    </row>
    <row r="22" spans="1:17" ht="11.25">
      <c r="A22" s="430"/>
      <c r="B22" s="429" t="s">
        <v>213</v>
      </c>
      <c r="C22" s="146"/>
      <c r="D22" s="429"/>
      <c r="E22" s="168" t="s">
        <v>145</v>
      </c>
      <c r="F22" s="426">
        <v>4</v>
      </c>
      <c r="G22" s="427">
        <f>Machinery!R5+Machinery!R16</f>
        <v>26.473599999999998</v>
      </c>
      <c r="H22" s="202">
        <f>F22*G22</f>
        <v>105.89439999999999</v>
      </c>
      <c r="I22" s="427"/>
      <c r="J22" s="291"/>
      <c r="K22" s="426"/>
      <c r="L22" s="202"/>
      <c r="M22" s="426">
        <f>+$F22*1.2</f>
        <v>4.8</v>
      </c>
      <c r="N22" s="108">
        <f>HOAssumptions!G36</f>
        <v>20</v>
      </c>
      <c r="O22" s="202">
        <f>+$N22*$M22</f>
        <v>96</v>
      </c>
      <c r="P22" s="175">
        <f t="shared" si="2"/>
        <v>201.8944</v>
      </c>
      <c r="Q22" s="175"/>
    </row>
    <row r="23" spans="1:17" ht="11.25">
      <c r="A23" s="419"/>
      <c r="B23" s="429"/>
      <c r="C23" s="146" t="s">
        <v>214</v>
      </c>
      <c r="D23" s="429"/>
      <c r="E23" s="168"/>
      <c r="F23" s="426"/>
      <c r="G23" s="427"/>
      <c r="H23" s="202"/>
      <c r="I23" s="427">
        <v>140</v>
      </c>
      <c r="J23" s="291" t="s">
        <v>152</v>
      </c>
      <c r="K23" s="426">
        <v>1</v>
      </c>
      <c r="L23" s="202">
        <f>I23*K23</f>
        <v>140</v>
      </c>
      <c r="M23" s="426">
        <v>12</v>
      </c>
      <c r="N23" s="108">
        <f>HOAssumptions!G35</f>
        <v>10</v>
      </c>
      <c r="O23" s="202">
        <f>+$N23*$M23</f>
        <v>120</v>
      </c>
      <c r="P23" s="175">
        <f t="shared" si="2"/>
        <v>260</v>
      </c>
      <c r="Q23" s="175"/>
    </row>
    <row r="24" spans="1:17" ht="11.25">
      <c r="A24" s="419"/>
      <c r="B24" s="429"/>
      <c r="C24" s="146" t="s">
        <v>215</v>
      </c>
      <c r="D24" s="429"/>
      <c r="E24" s="168"/>
      <c r="F24" s="426"/>
      <c r="G24" s="427"/>
      <c r="H24" s="202"/>
      <c r="I24" s="427">
        <v>150</v>
      </c>
      <c r="J24" s="291" t="s">
        <v>57</v>
      </c>
      <c r="K24" s="426">
        <v>1.3</v>
      </c>
      <c r="L24" s="202">
        <f>I24*K24</f>
        <v>195</v>
      </c>
      <c r="M24" s="426"/>
      <c r="N24" s="427"/>
      <c r="O24" s="202"/>
      <c r="P24" s="175">
        <f t="shared" si="2"/>
        <v>195</v>
      </c>
      <c r="Q24" s="175"/>
    </row>
    <row r="25" spans="1:17" ht="11.25">
      <c r="A25" s="147"/>
      <c r="B25" s="9" t="s">
        <v>303</v>
      </c>
      <c r="E25" s="424" t="s">
        <v>304</v>
      </c>
      <c r="F25" s="417">
        <v>0.75</v>
      </c>
      <c r="G25" s="433">
        <f>Machinery!R4+Machinery!R6</f>
        <v>8.2834</v>
      </c>
      <c r="H25" s="202">
        <f>F25*G25</f>
        <v>6.21255</v>
      </c>
      <c r="I25" s="415">
        <v>0.8</v>
      </c>
      <c r="J25" s="437" t="s">
        <v>294</v>
      </c>
      <c r="K25" s="418">
        <v>20</v>
      </c>
      <c r="L25" s="202">
        <f>I25*K25</f>
        <v>16</v>
      </c>
      <c r="M25" s="432">
        <f>$F25*1.2</f>
        <v>0.8999999999999999</v>
      </c>
      <c r="N25" s="108">
        <f>HOAssumptions!G36</f>
        <v>20</v>
      </c>
      <c r="O25" s="202">
        <f>+$N25*$M25</f>
        <v>18</v>
      </c>
      <c r="P25" s="175">
        <f t="shared" si="2"/>
        <v>40.21255</v>
      </c>
      <c r="Q25" s="175"/>
    </row>
    <row r="26" spans="1:17" ht="11.25">
      <c r="A26" s="180" t="s">
        <v>43</v>
      </c>
      <c r="B26" s="181"/>
      <c r="C26" s="181"/>
      <c r="D26" s="181"/>
      <c r="E26" s="185"/>
      <c r="F26" s="183">
        <f>SUM(F20:F25)</f>
        <v>12.75</v>
      </c>
      <c r="G26" s="184"/>
      <c r="H26" s="207">
        <f>SUM(H20:H25)</f>
        <v>243.85841666666664</v>
      </c>
      <c r="I26" s="184"/>
      <c r="J26" s="183"/>
      <c r="K26" s="183"/>
      <c r="L26" s="207">
        <f>SUM(L20:L25)</f>
        <v>351</v>
      </c>
      <c r="M26" s="183">
        <f>SUM(M20:M25)</f>
        <v>27.299999999999997</v>
      </c>
      <c r="N26" s="184"/>
      <c r="O26" s="207">
        <f>SUM(O20:O25)</f>
        <v>426</v>
      </c>
      <c r="P26" s="208">
        <f>SUM(P20:P25)</f>
        <v>1020.8584166666666</v>
      </c>
      <c r="Q26" s="208">
        <f>Q18+P26</f>
        <v>2070.99499</v>
      </c>
    </row>
    <row r="27" spans="1:23" ht="11.25">
      <c r="A27" s="200" t="s">
        <v>196</v>
      </c>
      <c r="B27" s="53"/>
      <c r="C27" s="53"/>
      <c r="D27" s="53"/>
      <c r="E27" s="52"/>
      <c r="F27" s="201"/>
      <c r="G27" s="54"/>
      <c r="H27" s="54"/>
      <c r="I27" s="263"/>
      <c r="J27" s="291"/>
      <c r="K27" s="52"/>
      <c r="L27" s="202"/>
      <c r="M27" s="52"/>
      <c r="N27" s="54"/>
      <c r="O27" s="54"/>
      <c r="P27" s="175"/>
      <c r="Q27" s="177" t="s">
        <v>3</v>
      </c>
      <c r="S27" s="186"/>
      <c r="T27" s="188"/>
      <c r="U27" s="188"/>
      <c r="V27" s="192"/>
      <c r="W27" s="187"/>
    </row>
    <row r="28" spans="1:23" ht="11.25">
      <c r="A28" s="203"/>
      <c r="B28" s="52" t="s">
        <v>198</v>
      </c>
      <c r="C28" s="53"/>
      <c r="D28" s="53"/>
      <c r="E28" s="52"/>
      <c r="F28" s="201"/>
      <c r="G28" s="54"/>
      <c r="H28" s="54"/>
      <c r="I28" s="263">
        <f>HOAssumptions!G55</f>
        <v>100</v>
      </c>
      <c r="J28" s="291" t="s">
        <v>98</v>
      </c>
      <c r="K28" s="52">
        <v>1</v>
      </c>
      <c r="L28" s="202">
        <f>$I28*K28</f>
        <v>100</v>
      </c>
      <c r="M28" s="52"/>
      <c r="N28" s="54"/>
      <c r="O28" s="54"/>
      <c r="P28" s="175">
        <f>$L28+$H28+$O28</f>
        <v>100</v>
      </c>
      <c r="Q28" s="175"/>
      <c r="S28" s="186"/>
      <c r="T28" s="188"/>
      <c r="U28" s="188"/>
      <c r="V28" s="192"/>
      <c r="W28" s="187"/>
    </row>
    <row r="29" spans="1:23" ht="11.25">
      <c r="A29" s="203"/>
      <c r="B29" s="52" t="s">
        <v>200</v>
      </c>
      <c r="C29" s="53"/>
      <c r="D29" s="53"/>
      <c r="E29" s="52"/>
      <c r="F29" s="201"/>
      <c r="G29" s="54"/>
      <c r="H29" s="54"/>
      <c r="I29" s="263">
        <f>HOAssumptions!G56</f>
        <v>40</v>
      </c>
      <c r="J29" s="291" t="s">
        <v>98</v>
      </c>
      <c r="K29" s="52">
        <v>1</v>
      </c>
      <c r="L29" s="202">
        <f>$I29*K29</f>
        <v>40</v>
      </c>
      <c r="M29" s="52"/>
      <c r="N29" s="54"/>
      <c r="O29" s="54"/>
      <c r="P29" s="175">
        <f>$L29+$H29+$O29</f>
        <v>40</v>
      </c>
      <c r="Q29" s="175"/>
      <c r="S29" s="186"/>
      <c r="T29" s="188"/>
      <c r="U29" s="188"/>
      <c r="V29" s="192"/>
      <c r="W29" s="187"/>
    </row>
    <row r="30" spans="1:23" ht="11.25">
      <c r="A30" s="203"/>
      <c r="B30" s="52" t="s">
        <v>201</v>
      </c>
      <c r="C30" s="53"/>
      <c r="D30" s="53"/>
      <c r="E30" s="52"/>
      <c r="F30" s="201"/>
      <c r="G30" s="54"/>
      <c r="H30" s="54"/>
      <c r="I30" s="263">
        <f>HOAssumptions!G57</f>
        <v>0</v>
      </c>
      <c r="J30" s="291" t="s">
        <v>98</v>
      </c>
      <c r="K30" s="52">
        <v>1</v>
      </c>
      <c r="L30" s="202">
        <f>$I30*K30</f>
        <v>0</v>
      </c>
      <c r="M30" s="52"/>
      <c r="N30" s="54"/>
      <c r="O30" s="54"/>
      <c r="P30" s="175">
        <f>$L30+$H30+$O30</f>
        <v>0</v>
      </c>
      <c r="Q30" s="175"/>
      <c r="S30" s="53"/>
      <c r="T30" s="99"/>
      <c r="U30" s="99"/>
      <c r="V30" s="108"/>
      <c r="W30" s="189"/>
    </row>
    <row r="31" spans="1:17" ht="11.25">
      <c r="A31" s="204" t="s">
        <v>204</v>
      </c>
      <c r="B31" s="181"/>
      <c r="C31" s="181"/>
      <c r="D31" s="181"/>
      <c r="E31" s="205"/>
      <c r="F31" s="206"/>
      <c r="G31" s="184"/>
      <c r="H31" s="184"/>
      <c r="I31" s="303"/>
      <c r="J31" s="183"/>
      <c r="K31" s="183"/>
      <c r="L31" s="207">
        <f>SUM(L28:L30)</f>
        <v>140</v>
      </c>
      <c r="M31" s="183" t="s">
        <v>3</v>
      </c>
      <c r="N31" s="184"/>
      <c r="O31" s="296"/>
      <c r="P31" s="207">
        <f>SUM(P28:P30)</f>
        <v>140</v>
      </c>
      <c r="Q31" s="208">
        <f>Q26+P31</f>
        <v>2210.99499</v>
      </c>
    </row>
    <row r="32" spans="1:17" ht="11.25">
      <c r="A32" s="200" t="s">
        <v>205</v>
      </c>
      <c r="B32" s="53"/>
      <c r="C32" s="53"/>
      <c r="D32" s="53"/>
      <c r="E32" s="209"/>
      <c r="F32" s="210">
        <f>F8+F18+F26</f>
        <v>18.1</v>
      </c>
      <c r="G32" s="152"/>
      <c r="H32" s="216">
        <f>H8++H18+H26</f>
        <v>336.39499</v>
      </c>
      <c r="I32" s="304"/>
      <c r="J32" s="154"/>
      <c r="K32" s="154"/>
      <c r="L32" s="216">
        <f>L8++L18+L26</f>
        <v>930.1999999999999</v>
      </c>
      <c r="M32" s="210">
        <f>M8+M18+M26</f>
        <v>58.72</v>
      </c>
      <c r="N32" s="152"/>
      <c r="O32" s="216">
        <f>O8++O18+O26</f>
        <v>804.3999999999999</v>
      </c>
      <c r="P32" s="216">
        <f>P8++P18+P26</f>
        <v>2070.99499</v>
      </c>
      <c r="Q32" s="177"/>
    </row>
    <row r="33" spans="1:17" ht="11.25">
      <c r="A33" s="204" t="s">
        <v>206</v>
      </c>
      <c r="B33" s="181"/>
      <c r="C33" s="181"/>
      <c r="D33" s="181"/>
      <c r="E33" s="205"/>
      <c r="F33" s="206" t="s">
        <v>3</v>
      </c>
      <c r="G33" s="184"/>
      <c r="H33" s="207">
        <f>H8+H18+H26+H31</f>
        <v>336.39499</v>
      </c>
      <c r="I33" s="303"/>
      <c r="J33" s="183"/>
      <c r="K33" s="183"/>
      <c r="L33" s="207">
        <f>L8+L18+L26+L31</f>
        <v>1070.1999999999998</v>
      </c>
      <c r="M33" s="206" t="s">
        <v>3</v>
      </c>
      <c r="N33" s="184"/>
      <c r="O33" s="207">
        <f>O8+O18+O26+O31</f>
        <v>804.3999999999999</v>
      </c>
      <c r="P33" s="207">
        <f>P8+P18+P26+P31</f>
        <v>2210.99499</v>
      </c>
      <c r="Q33" s="215"/>
    </row>
    <row r="34" spans="1:5" ht="11.25">
      <c r="A34" s="186"/>
      <c r="B34" s="193"/>
      <c r="C34" s="191"/>
      <c r="D34" s="192"/>
      <c r="E34" s="190"/>
    </row>
    <row r="35" spans="1:5" ht="11.25">
      <c r="A35" s="186"/>
      <c r="B35" s="193"/>
      <c r="C35" s="191"/>
      <c r="D35" s="192"/>
      <c r="E35" s="190"/>
    </row>
    <row r="36" spans="1:5" ht="11.25">
      <c r="A36" s="186"/>
      <c r="B36" s="193"/>
      <c r="C36" s="191"/>
      <c r="D36" s="192"/>
      <c r="E36" s="190"/>
    </row>
    <row r="37" spans="1:5" ht="11.25">
      <c r="A37" s="53"/>
      <c r="B37" s="99"/>
      <c r="C37" s="99"/>
      <c r="D37" s="108"/>
      <c r="E37" s="189"/>
    </row>
  </sheetData>
  <sheetProtection password="ECAF" sheet="1" selectLockedCells="1"/>
  <mergeCells count="3">
    <mergeCell ref="F3:H3"/>
    <mergeCell ref="I3:L3"/>
    <mergeCell ref="M3:O3"/>
  </mergeCells>
  <printOptions/>
  <pageMargins left="0.76" right="0.75" top="0.5" bottom="0.25" header="0.5" footer="0.16"/>
  <pageSetup fitToHeight="1" fitToWidth="1" horizontalDpi="600" verticalDpi="600" orientation="landscape" scale="67" r:id="rId1"/>
</worksheet>
</file>

<file path=xl/worksheets/sheet11.xml><?xml version="1.0" encoding="utf-8"?>
<worksheet xmlns="http://schemas.openxmlformats.org/spreadsheetml/2006/main" xmlns:r="http://schemas.openxmlformats.org/officeDocument/2006/relationships">
  <sheetPr>
    <tabColor theme="0"/>
  </sheetPr>
  <dimension ref="A1:W58"/>
  <sheetViews>
    <sheetView zoomScalePageLayoutView="0" workbookViewId="0" topLeftCell="A10">
      <selection activeCell="A1" sqref="A1:U56"/>
    </sheetView>
  </sheetViews>
  <sheetFormatPr defaultColWidth="11.421875" defaultRowHeight="12.75"/>
  <cols>
    <col min="1" max="1" width="8.140625" style="109" customWidth="1"/>
    <col min="2" max="2" width="20.28125" style="9" customWidth="1"/>
    <col min="3" max="4" width="1.7109375" style="9" customWidth="1"/>
    <col min="5" max="5" width="24.28125" style="9" customWidth="1"/>
    <col min="6" max="7" width="11.421875" style="9" customWidth="1"/>
    <col min="8" max="8" width="10.140625" style="300" bestFit="1" customWidth="1"/>
    <col min="9" max="9" width="11.421875" style="9" customWidth="1"/>
    <col min="10" max="10" width="10.140625" style="92" bestFit="1" customWidth="1"/>
    <col min="11" max="11" width="11.421875" style="9" customWidth="1"/>
    <col min="12" max="12" width="9.7109375" style="9" customWidth="1"/>
    <col min="13" max="14" width="11.421875" style="9" customWidth="1"/>
    <col min="15" max="15" width="9.7109375" style="9" customWidth="1"/>
    <col min="16" max="16" width="12.28125" style="9" customWidth="1"/>
    <col min="17" max="18" width="11.421875" style="9" customWidth="1"/>
    <col min="19" max="19" width="40.140625" style="9" customWidth="1"/>
    <col min="20" max="16384" width="11.421875" style="9" customWidth="1"/>
  </cols>
  <sheetData>
    <row r="1" spans="1:17" ht="11.25">
      <c r="A1" s="148" t="s">
        <v>26</v>
      </c>
      <c r="B1" s="93"/>
      <c r="C1" s="93"/>
      <c r="D1" s="93"/>
      <c r="E1" s="93"/>
      <c r="F1" s="94"/>
      <c r="G1" s="95"/>
      <c r="H1" s="297"/>
      <c r="I1" s="93"/>
      <c r="K1" s="93"/>
      <c r="L1" s="96"/>
      <c r="M1" s="93"/>
      <c r="N1" s="97"/>
      <c r="O1" s="93"/>
      <c r="P1" s="93"/>
      <c r="Q1" s="93"/>
    </row>
    <row r="2" spans="1:17" ht="12.75" customHeight="1">
      <c r="A2" s="232" t="s">
        <v>3</v>
      </c>
      <c r="B2" s="256" t="s">
        <v>3</v>
      </c>
      <c r="C2" s="178"/>
      <c r="D2" s="178"/>
      <c r="E2" s="246"/>
      <c r="F2" s="463" t="s">
        <v>50</v>
      </c>
      <c r="G2" s="464"/>
      <c r="H2" s="465"/>
      <c r="I2" s="463" t="s">
        <v>51</v>
      </c>
      <c r="J2" s="464"/>
      <c r="K2" s="464"/>
      <c r="L2" s="465"/>
      <c r="M2" s="463" t="s">
        <v>52</v>
      </c>
      <c r="N2" s="464"/>
      <c r="O2" s="465"/>
      <c r="P2" s="173" t="s">
        <v>5</v>
      </c>
      <c r="Q2" s="257" t="s">
        <v>6</v>
      </c>
    </row>
    <row r="3" spans="1:17" ht="11.25">
      <c r="A3" s="227" t="s">
        <v>4</v>
      </c>
      <c r="B3" s="233" t="s">
        <v>207</v>
      </c>
      <c r="C3" s="234"/>
      <c r="D3" s="235"/>
      <c r="E3" s="247"/>
      <c r="F3" s="258" t="s">
        <v>7</v>
      </c>
      <c r="G3" s="162" t="s">
        <v>8</v>
      </c>
      <c r="H3" s="298" t="s">
        <v>9</v>
      </c>
      <c r="I3" s="160" t="s">
        <v>10</v>
      </c>
      <c r="J3" s="160" t="s">
        <v>11</v>
      </c>
      <c r="K3" s="160" t="s">
        <v>75</v>
      </c>
      <c r="L3" s="259" t="s">
        <v>12</v>
      </c>
      <c r="M3" s="160" t="s">
        <v>7</v>
      </c>
      <c r="N3" s="260" t="s">
        <v>8</v>
      </c>
      <c r="O3" s="166" t="s">
        <v>13</v>
      </c>
      <c r="P3" s="174" t="s">
        <v>14</v>
      </c>
      <c r="Q3" s="166" t="s">
        <v>14</v>
      </c>
    </row>
    <row r="4" spans="1:17" ht="11.25">
      <c r="A4" s="230" t="s">
        <v>27</v>
      </c>
      <c r="B4" s="219"/>
      <c r="C4" s="219"/>
      <c r="D4" s="219"/>
      <c r="E4" s="248"/>
      <c r="F4" s="220"/>
      <c r="G4" s="220"/>
      <c r="H4" s="253"/>
      <c r="I4" s="220"/>
      <c r="J4" s="292"/>
      <c r="K4" s="220"/>
      <c r="L4" s="293"/>
      <c r="M4" s="220"/>
      <c r="N4" s="221"/>
      <c r="O4" s="293"/>
      <c r="P4" s="294"/>
      <c r="Q4" s="293" t="s">
        <v>3</v>
      </c>
    </row>
    <row r="5" spans="1:17" ht="11.25">
      <c r="A5" s="231"/>
      <c r="B5" s="222" t="s">
        <v>217</v>
      </c>
      <c r="C5" s="99"/>
      <c r="D5" s="99"/>
      <c r="E5" s="249" t="s">
        <v>31</v>
      </c>
      <c r="F5" s="100">
        <v>8.333</v>
      </c>
      <c r="G5" s="108">
        <f>Machinery!R15</f>
        <v>0.3844444444444445</v>
      </c>
      <c r="H5" s="301">
        <f>F5*G5</f>
        <v>3.203575555555556</v>
      </c>
      <c r="I5" s="108"/>
      <c r="J5" s="291"/>
      <c r="K5" s="100"/>
      <c r="L5" s="301"/>
      <c r="M5" s="100">
        <v>10</v>
      </c>
      <c r="N5" s="108">
        <f>'[2]HOAssumptions'!G$38</f>
        <v>10</v>
      </c>
      <c r="O5" s="301">
        <f>M5*N5</f>
        <v>100</v>
      </c>
      <c r="P5" s="283">
        <f>$O5+$L5+$H5</f>
        <v>103.20357555555556</v>
      </c>
      <c r="Q5" s="301"/>
    </row>
    <row r="6" spans="1:17" ht="11.25">
      <c r="A6" s="261" t="s">
        <v>32</v>
      </c>
      <c r="B6" s="236"/>
      <c r="C6" s="236"/>
      <c r="D6" s="236"/>
      <c r="E6" s="250"/>
      <c r="F6" s="240">
        <f>SUM(F5:F5)</f>
        <v>8.333</v>
      </c>
      <c r="G6" s="241"/>
      <c r="H6" s="302">
        <f>SUM(H5:H5)</f>
        <v>3.203575555555556</v>
      </c>
      <c r="I6" s="241"/>
      <c r="J6" s="295"/>
      <c r="K6" s="240"/>
      <c r="L6" s="302">
        <f>SUM(L5:L5)</f>
        <v>0</v>
      </c>
      <c r="M6" s="240">
        <f>SUM(M5:M5)</f>
        <v>10</v>
      </c>
      <c r="N6" s="241"/>
      <c r="O6" s="302">
        <f>SUM(O5:O5)</f>
        <v>100</v>
      </c>
      <c r="P6" s="302">
        <f>SUM(P5:P5)</f>
        <v>103.20357555555556</v>
      </c>
      <c r="Q6" s="302">
        <f>P6</f>
        <v>103.20357555555556</v>
      </c>
    </row>
    <row r="7" spans="1:17" ht="11.25">
      <c r="A7" s="230" t="s">
        <v>23</v>
      </c>
      <c r="B7" s="219"/>
      <c r="C7" s="219"/>
      <c r="D7" s="219"/>
      <c r="E7" s="251"/>
      <c r="F7" s="220"/>
      <c r="G7" s="221"/>
      <c r="H7" s="253"/>
      <c r="I7" s="221"/>
      <c r="J7" s="292"/>
      <c r="K7" s="220"/>
      <c r="L7" s="253"/>
      <c r="M7" s="220"/>
      <c r="N7" s="221"/>
      <c r="O7" s="253"/>
      <c r="P7" s="255"/>
      <c r="Q7" s="253" t="s">
        <v>3</v>
      </c>
    </row>
    <row r="8" spans="1:17" ht="11.25">
      <c r="A8" s="231"/>
      <c r="B8" s="222" t="s">
        <v>28</v>
      </c>
      <c r="C8" s="99"/>
      <c r="D8" s="99"/>
      <c r="E8" s="249" t="s">
        <v>29</v>
      </c>
      <c r="F8" s="100"/>
      <c r="G8" s="108"/>
      <c r="H8" s="301"/>
      <c r="I8" s="54">
        <v>4</v>
      </c>
      <c r="J8" s="291" t="s">
        <v>146</v>
      </c>
      <c r="K8" s="52">
        <v>1340</v>
      </c>
      <c r="L8" s="202">
        <f>I8*K8</f>
        <v>5360</v>
      </c>
      <c r="M8" s="100">
        <v>32</v>
      </c>
      <c r="N8" s="108">
        <f>'[2]HOAssumptions'!G38</f>
        <v>10</v>
      </c>
      <c r="O8" s="301">
        <f aca="true" t="shared" si="0" ref="O8:O13">M8*N8</f>
        <v>320</v>
      </c>
      <c r="P8" s="283">
        <f aca="true" t="shared" si="1" ref="P8:P13">$O8+$L8+$H8</f>
        <v>5680</v>
      </c>
      <c r="Q8" s="301"/>
    </row>
    <row r="9" spans="1:17" ht="11.25">
      <c r="A9" s="231"/>
      <c r="B9" s="222" t="s">
        <v>218</v>
      </c>
      <c r="C9" s="99"/>
      <c r="D9" s="99"/>
      <c r="E9" s="249" t="s">
        <v>29</v>
      </c>
      <c r="F9" s="100"/>
      <c r="G9" s="108"/>
      <c r="H9" s="301"/>
      <c r="I9" s="108"/>
      <c r="J9" s="291"/>
      <c r="K9" s="100"/>
      <c r="L9" s="301"/>
      <c r="M9" s="100">
        <v>5</v>
      </c>
      <c r="N9" s="108">
        <f>'[2]HOAssumptions'!G38</f>
        <v>10</v>
      </c>
      <c r="O9" s="301">
        <f t="shared" si="0"/>
        <v>50</v>
      </c>
      <c r="P9" s="283">
        <f t="shared" si="1"/>
        <v>50</v>
      </c>
      <c r="Q9" s="301"/>
    </row>
    <row r="10" spans="1:23" ht="11.25">
      <c r="A10" s="231"/>
      <c r="B10" s="222" t="s">
        <v>33</v>
      </c>
      <c r="C10" s="99"/>
      <c r="D10" s="99"/>
      <c r="E10" s="249" t="s">
        <v>29</v>
      </c>
      <c r="F10" s="100"/>
      <c r="G10" s="108"/>
      <c r="H10" s="301"/>
      <c r="I10" s="54">
        <v>2870</v>
      </c>
      <c r="J10" s="291" t="s">
        <v>98</v>
      </c>
      <c r="K10" s="52">
        <v>1</v>
      </c>
      <c r="L10" s="202">
        <f>I10*K10</f>
        <v>2870</v>
      </c>
      <c r="M10" s="100">
        <v>100</v>
      </c>
      <c r="N10" s="108">
        <f>'[2]HOAssumptions'!G38</f>
        <v>10</v>
      </c>
      <c r="O10" s="301">
        <f t="shared" si="0"/>
        <v>1000</v>
      </c>
      <c r="P10" s="283">
        <f t="shared" si="1"/>
        <v>3870</v>
      </c>
      <c r="Q10" s="301"/>
      <c r="S10" s="194" t="s">
        <v>189</v>
      </c>
      <c r="T10" s="187"/>
      <c r="U10" s="188"/>
      <c r="V10" s="189"/>
      <c r="W10" s="189"/>
    </row>
    <row r="11" spans="1:23" ht="11.25">
      <c r="A11" s="231"/>
      <c r="B11" s="222" t="s">
        <v>36</v>
      </c>
      <c r="C11" s="99"/>
      <c r="D11" s="99"/>
      <c r="E11" s="249" t="s">
        <v>147</v>
      </c>
      <c r="F11" s="100">
        <v>16</v>
      </c>
      <c r="G11" s="108">
        <f>Machinery!R$18</f>
        <v>7.733333333333334</v>
      </c>
      <c r="H11" s="301">
        <f>F11*G11</f>
        <v>123.73333333333335</v>
      </c>
      <c r="I11" s="108"/>
      <c r="J11" s="291"/>
      <c r="K11" s="100"/>
      <c r="L11" s="301"/>
      <c r="M11" s="100">
        <f>F11/4*0.5</f>
        <v>2</v>
      </c>
      <c r="N11" s="108">
        <f>'[2]HOAssumptions'!G38</f>
        <v>10</v>
      </c>
      <c r="O11" s="301">
        <f t="shared" si="0"/>
        <v>20</v>
      </c>
      <c r="P11" s="283">
        <f t="shared" si="1"/>
        <v>143.73333333333335</v>
      </c>
      <c r="Q11" s="301"/>
      <c r="S11" s="186" t="s">
        <v>3</v>
      </c>
      <c r="T11" s="188" t="s">
        <v>192</v>
      </c>
      <c r="U11" s="188" t="s">
        <v>56</v>
      </c>
      <c r="V11" s="192" t="s">
        <v>193</v>
      </c>
      <c r="W11" s="187" t="s">
        <v>194</v>
      </c>
    </row>
    <row r="12" spans="1:23" ht="11.25">
      <c r="A12" s="231"/>
      <c r="B12" s="222" t="s">
        <v>216</v>
      </c>
      <c r="C12" s="99"/>
      <c r="D12" s="99"/>
      <c r="E12" s="249" t="s">
        <v>71</v>
      </c>
      <c r="F12" s="100">
        <v>1</v>
      </c>
      <c r="G12" s="108">
        <f>Machinery!R$5+Machinery!R$10</f>
        <v>15.292533333333333</v>
      </c>
      <c r="H12" s="301">
        <f>F12*G12</f>
        <v>15.292533333333333</v>
      </c>
      <c r="I12" s="108"/>
      <c r="J12" s="291"/>
      <c r="K12" s="100"/>
      <c r="L12" s="301"/>
      <c r="M12" s="100">
        <f>F12*1.2</f>
        <v>1.2</v>
      </c>
      <c r="N12" s="108">
        <f>'[2]HOAssumptions'!G38</f>
        <v>10</v>
      </c>
      <c r="O12" s="301">
        <f t="shared" si="0"/>
        <v>12</v>
      </c>
      <c r="P12" s="283">
        <f t="shared" si="1"/>
        <v>27.29253333333333</v>
      </c>
      <c r="Q12" s="301"/>
      <c r="S12" s="186" t="s">
        <v>191</v>
      </c>
      <c r="T12" s="188">
        <v>400</v>
      </c>
      <c r="U12" s="188" t="s">
        <v>68</v>
      </c>
      <c r="V12" s="192">
        <v>6.5</v>
      </c>
      <c r="W12" s="187">
        <f>T12*V12</f>
        <v>2600</v>
      </c>
    </row>
    <row r="13" spans="1:23" ht="11.25">
      <c r="A13" s="231"/>
      <c r="B13" s="222" t="s">
        <v>219</v>
      </c>
      <c r="C13" s="99"/>
      <c r="D13" s="99"/>
      <c r="E13" s="252" t="s">
        <v>34</v>
      </c>
      <c r="F13" s="100"/>
      <c r="G13" s="108"/>
      <c r="H13" s="301"/>
      <c r="I13" s="108"/>
      <c r="J13" s="291"/>
      <c r="K13" s="100"/>
      <c r="L13" s="301"/>
      <c r="M13" s="100">
        <v>4</v>
      </c>
      <c r="N13" s="108">
        <f>'[2]HOAssumptions'!G38</f>
        <v>10</v>
      </c>
      <c r="O13" s="301">
        <f t="shared" si="0"/>
        <v>40</v>
      </c>
      <c r="P13" s="283">
        <f t="shared" si="1"/>
        <v>40</v>
      </c>
      <c r="Q13" s="301"/>
      <c r="S13" s="186" t="s">
        <v>190</v>
      </c>
      <c r="T13" s="188">
        <v>6</v>
      </c>
      <c r="U13" s="188" t="s">
        <v>144</v>
      </c>
      <c r="V13" s="192">
        <v>15</v>
      </c>
      <c r="W13" s="187">
        <f>T13*V13</f>
        <v>90</v>
      </c>
    </row>
    <row r="14" spans="1:23" ht="11.25">
      <c r="A14" s="261" t="s">
        <v>24</v>
      </c>
      <c r="B14" s="236"/>
      <c r="C14" s="236"/>
      <c r="D14" s="236"/>
      <c r="E14" s="250"/>
      <c r="F14" s="240">
        <f>SUM(F8:F13)</f>
        <v>17</v>
      </c>
      <c r="G14" s="241"/>
      <c r="H14" s="302">
        <f>SUM(H8:H13)</f>
        <v>139.02586666666667</v>
      </c>
      <c r="I14" s="241"/>
      <c r="J14" s="295"/>
      <c r="K14" s="240"/>
      <c r="L14" s="302">
        <f>SUM(L8:L13)</f>
        <v>8230</v>
      </c>
      <c r="M14" s="240">
        <f>SUM(M8:M13)</f>
        <v>144.2</v>
      </c>
      <c r="N14" s="241"/>
      <c r="O14" s="302">
        <f>SUM(O8:O13)</f>
        <v>1442</v>
      </c>
      <c r="P14" s="302">
        <f>SUM(P8:P13)</f>
        <v>9811.025866666667</v>
      </c>
      <c r="Q14" s="302">
        <f>Q6+P14</f>
        <v>9914.229442222222</v>
      </c>
      <c r="S14" s="186" t="s">
        <v>195</v>
      </c>
      <c r="T14" s="188">
        <v>120</v>
      </c>
      <c r="U14" s="188" t="s">
        <v>68</v>
      </c>
      <c r="V14" s="192">
        <v>1.5</v>
      </c>
      <c r="W14" s="187">
        <f>T14*V14</f>
        <v>180</v>
      </c>
    </row>
    <row r="15" spans="1:23" ht="11.25">
      <c r="A15" s="230" t="s">
        <v>16</v>
      </c>
      <c r="B15" s="219"/>
      <c r="C15" s="219"/>
      <c r="D15" s="219"/>
      <c r="E15" s="251"/>
      <c r="F15" s="220"/>
      <c r="G15" s="221"/>
      <c r="H15" s="253"/>
      <c r="I15" s="221"/>
      <c r="J15" s="292"/>
      <c r="K15" s="220"/>
      <c r="L15" s="253"/>
      <c r="M15" s="220"/>
      <c r="N15" s="221"/>
      <c r="O15" s="253"/>
      <c r="P15" s="255"/>
      <c r="Q15" s="253" t="s">
        <v>3</v>
      </c>
      <c r="S15" s="53" t="s">
        <v>53</v>
      </c>
      <c r="T15" s="99"/>
      <c r="U15" s="99"/>
      <c r="V15" s="108"/>
      <c r="W15" s="189">
        <f>SUM(W12:W14)</f>
        <v>2870</v>
      </c>
    </row>
    <row r="16" spans="1:17" ht="11.25">
      <c r="A16" s="231"/>
      <c r="B16" s="222" t="s">
        <v>220</v>
      </c>
      <c r="C16" s="99"/>
      <c r="D16" s="99"/>
      <c r="E16" s="249" t="s">
        <v>34</v>
      </c>
      <c r="F16" s="100"/>
      <c r="G16" s="108"/>
      <c r="H16" s="301"/>
      <c r="I16" s="108">
        <v>60</v>
      </c>
      <c r="J16" s="291" t="s">
        <v>148</v>
      </c>
      <c r="K16" s="100">
        <v>3</v>
      </c>
      <c r="L16" s="301">
        <f>+K16*I16</f>
        <v>180</v>
      </c>
      <c r="M16" s="100">
        <v>10</v>
      </c>
      <c r="N16" s="108">
        <f>'[2]HOAssumptions'!G38</f>
        <v>10</v>
      </c>
      <c r="O16" s="301">
        <f>+$N16*$M16</f>
        <v>100</v>
      </c>
      <c r="P16" s="283">
        <f>$O16+$L16+$H16</f>
        <v>280</v>
      </c>
      <c r="Q16" s="301"/>
    </row>
    <row r="17" spans="1:17" ht="11.25">
      <c r="A17" s="231"/>
      <c r="B17" s="222" t="s">
        <v>216</v>
      </c>
      <c r="C17" s="99"/>
      <c r="D17" s="99"/>
      <c r="E17" s="249" t="s">
        <v>71</v>
      </c>
      <c r="F17" s="100">
        <v>1</v>
      </c>
      <c r="G17" s="108">
        <f>Machinery!R$5+Machinery!R$10</f>
        <v>15.292533333333333</v>
      </c>
      <c r="H17" s="301">
        <f>F17*G17</f>
        <v>15.292533333333333</v>
      </c>
      <c r="I17" s="108"/>
      <c r="J17" s="291"/>
      <c r="K17" s="100"/>
      <c r="L17" s="301"/>
      <c r="M17" s="100">
        <f>F17*1.2</f>
        <v>1.2</v>
      </c>
      <c r="N17" s="108">
        <f>'[2]HOAssumptions'!G38</f>
        <v>10</v>
      </c>
      <c r="O17" s="301">
        <f>+$N17*$M17</f>
        <v>12</v>
      </c>
      <c r="P17" s="283">
        <f>$O17+$L17+$H17</f>
        <v>27.29253333333333</v>
      </c>
      <c r="Q17" s="301"/>
    </row>
    <row r="18" spans="1:17" ht="11.25">
      <c r="A18" s="231"/>
      <c r="B18" s="222" t="s">
        <v>36</v>
      </c>
      <c r="C18" s="99"/>
      <c r="D18" s="99"/>
      <c r="E18" s="249" t="s">
        <v>147</v>
      </c>
      <c r="F18" s="100">
        <v>16</v>
      </c>
      <c r="G18" s="108">
        <f>Machinery!R$18</f>
        <v>7.733333333333334</v>
      </c>
      <c r="H18" s="301">
        <f>F18*G18</f>
        <v>123.73333333333335</v>
      </c>
      <c r="I18" s="108"/>
      <c r="J18" s="291"/>
      <c r="K18" s="100"/>
      <c r="L18" s="301"/>
      <c r="M18" s="100">
        <f>F18/4*0.5</f>
        <v>2</v>
      </c>
      <c r="N18" s="108">
        <f>'[2]HOAssumptions'!G38</f>
        <v>10</v>
      </c>
      <c r="O18" s="301">
        <f>+$N18*$M18</f>
        <v>20</v>
      </c>
      <c r="P18" s="283">
        <f>$O18+$L18+$H18</f>
        <v>143.73333333333335</v>
      </c>
      <c r="Q18" s="301"/>
    </row>
    <row r="19" spans="1:17" ht="11.25">
      <c r="A19" s="231"/>
      <c r="B19" s="222" t="s">
        <v>219</v>
      </c>
      <c r="C19" s="99"/>
      <c r="D19" s="99"/>
      <c r="E19" s="252" t="s">
        <v>34</v>
      </c>
      <c r="F19" s="100"/>
      <c r="G19" s="108"/>
      <c r="H19" s="301"/>
      <c r="I19" s="108"/>
      <c r="J19" s="291"/>
      <c r="K19" s="100"/>
      <c r="L19" s="301"/>
      <c r="M19" s="100">
        <v>4</v>
      </c>
      <c r="N19" s="108">
        <f>'[2]HOAssumptions'!G38</f>
        <v>10</v>
      </c>
      <c r="O19" s="301">
        <f>M19*N19</f>
        <v>40</v>
      </c>
      <c r="P19" s="283">
        <f>$O19+$L19+$H19</f>
        <v>40</v>
      </c>
      <c r="Q19" s="301"/>
    </row>
    <row r="20" spans="1:17" ht="11.25">
      <c r="A20" s="261" t="s">
        <v>17</v>
      </c>
      <c r="B20" s="236"/>
      <c r="C20" s="236"/>
      <c r="D20" s="236"/>
      <c r="E20" s="250"/>
      <c r="F20" s="240">
        <f>SUM(F16:F19)</f>
        <v>17</v>
      </c>
      <c r="G20" s="241"/>
      <c r="H20" s="302">
        <f>SUM(H16:H19)</f>
        <v>139.02586666666667</v>
      </c>
      <c r="I20" s="241"/>
      <c r="J20" s="295"/>
      <c r="K20" s="240"/>
      <c r="L20" s="302">
        <f>SUM(L16:L19)</f>
        <v>180</v>
      </c>
      <c r="M20" s="240">
        <f>SUM(M16:M19)</f>
        <v>17.2</v>
      </c>
      <c r="N20" s="241"/>
      <c r="O20" s="302">
        <f>SUM(O16:O19)</f>
        <v>172</v>
      </c>
      <c r="P20" s="302">
        <f>SUM(P16:P19)</f>
        <v>491.0258666666667</v>
      </c>
      <c r="Q20" s="302">
        <f>Q14+P20</f>
        <v>10405.255308888889</v>
      </c>
    </row>
    <row r="21" spans="1:17" ht="11.25">
      <c r="A21" s="230" t="s">
        <v>35</v>
      </c>
      <c r="B21" s="219"/>
      <c r="C21" s="219"/>
      <c r="D21" s="219"/>
      <c r="E21" s="251"/>
      <c r="F21" s="220"/>
      <c r="G21" s="221"/>
      <c r="H21" s="253"/>
      <c r="I21" s="221"/>
      <c r="J21" s="292"/>
      <c r="K21" s="220"/>
      <c r="L21" s="253"/>
      <c r="M21" s="220"/>
      <c r="N21" s="221"/>
      <c r="O21" s="253"/>
      <c r="P21" s="255"/>
      <c r="Q21" s="253" t="s">
        <v>3</v>
      </c>
    </row>
    <row r="22" spans="1:17" ht="11.25">
      <c r="A22" s="231"/>
      <c r="B22" s="222" t="s">
        <v>220</v>
      </c>
      <c r="C22" s="99"/>
      <c r="D22" s="99"/>
      <c r="E22" s="249" t="s">
        <v>34</v>
      </c>
      <c r="F22" s="100"/>
      <c r="G22" s="108"/>
      <c r="H22" s="301"/>
      <c r="I22" s="108"/>
      <c r="J22" s="291"/>
      <c r="K22" s="100"/>
      <c r="L22" s="301"/>
      <c r="M22" s="100">
        <v>10</v>
      </c>
      <c r="N22" s="108">
        <f>'[2]HOAssumptions'!G$38</f>
        <v>10</v>
      </c>
      <c r="O22" s="301">
        <f>+$N22*$M22</f>
        <v>100</v>
      </c>
      <c r="P22" s="283">
        <f>$O22+$L22+$H22</f>
        <v>100</v>
      </c>
      <c r="Q22" s="301"/>
    </row>
    <row r="23" spans="1:17" ht="11.25">
      <c r="A23" s="231"/>
      <c r="B23" s="222" t="s">
        <v>216</v>
      </c>
      <c r="C23" s="99"/>
      <c r="D23" s="99"/>
      <c r="E23" s="249" t="s">
        <v>71</v>
      </c>
      <c r="F23" s="100">
        <v>1</v>
      </c>
      <c r="G23" s="108">
        <f>Machinery!R$5+Machinery!R$10</f>
        <v>15.292533333333333</v>
      </c>
      <c r="H23" s="301">
        <f>F23*G23</f>
        <v>15.292533333333333</v>
      </c>
      <c r="I23" s="108"/>
      <c r="J23" s="291"/>
      <c r="K23" s="100"/>
      <c r="L23" s="301"/>
      <c r="M23" s="100">
        <f>F23*1.2</f>
        <v>1.2</v>
      </c>
      <c r="N23" s="108">
        <f>'[2]HOAssumptions'!G$38</f>
        <v>10</v>
      </c>
      <c r="O23" s="301">
        <f>+$N23*$M23</f>
        <v>12</v>
      </c>
      <c r="P23" s="283">
        <f>$O23+$L23+$H23</f>
        <v>27.29253333333333</v>
      </c>
      <c r="Q23" s="301"/>
    </row>
    <row r="24" spans="1:17" ht="11.25">
      <c r="A24" s="231"/>
      <c r="B24" s="222" t="s">
        <v>36</v>
      </c>
      <c r="C24" s="99"/>
      <c r="D24" s="99"/>
      <c r="E24" s="249" t="s">
        <v>147</v>
      </c>
      <c r="F24" s="100">
        <v>16</v>
      </c>
      <c r="G24" s="108">
        <f>Machinery!R$18</f>
        <v>7.733333333333334</v>
      </c>
      <c r="H24" s="301">
        <f>F24*G24</f>
        <v>123.73333333333335</v>
      </c>
      <c r="I24" s="108"/>
      <c r="J24" s="291"/>
      <c r="K24" s="100"/>
      <c r="L24" s="301"/>
      <c r="M24" s="100">
        <f>F24/4*0.5</f>
        <v>2</v>
      </c>
      <c r="N24" s="108">
        <f>'[2]HOAssumptions'!G$38</f>
        <v>10</v>
      </c>
      <c r="O24" s="301">
        <f>+$N24*$M24</f>
        <v>20</v>
      </c>
      <c r="P24" s="283">
        <f>$O24+$L24+$H24</f>
        <v>143.73333333333335</v>
      </c>
      <c r="Q24" s="301"/>
    </row>
    <row r="25" spans="1:17" ht="11.25">
      <c r="A25" s="231"/>
      <c r="B25" s="222" t="s">
        <v>219</v>
      </c>
      <c r="C25" s="99"/>
      <c r="D25" s="99"/>
      <c r="E25" s="252" t="s">
        <v>34</v>
      </c>
      <c r="F25" s="100"/>
      <c r="G25" s="108"/>
      <c r="H25" s="301"/>
      <c r="I25" s="108"/>
      <c r="J25" s="291"/>
      <c r="K25" s="100"/>
      <c r="L25" s="301"/>
      <c r="M25" s="100">
        <v>4</v>
      </c>
      <c r="N25" s="108">
        <f>'[2]HOAssumptions'!G$38</f>
        <v>10</v>
      </c>
      <c r="O25" s="301">
        <f>M25*N25</f>
        <v>40</v>
      </c>
      <c r="P25" s="283">
        <f>$O25+$L25+$H25</f>
        <v>40</v>
      </c>
      <c r="Q25" s="301"/>
    </row>
    <row r="26" spans="1:17" ht="11.25">
      <c r="A26" s="261" t="s">
        <v>37</v>
      </c>
      <c r="B26" s="236"/>
      <c r="C26" s="236"/>
      <c r="D26" s="236"/>
      <c r="E26" s="250"/>
      <c r="F26" s="240">
        <f>SUM(F22:F25)</f>
        <v>17</v>
      </c>
      <c r="G26" s="241"/>
      <c r="H26" s="302">
        <f>SUM(H22:H25)</f>
        <v>139.02586666666667</v>
      </c>
      <c r="I26" s="241"/>
      <c r="J26" s="295"/>
      <c r="K26" s="240"/>
      <c r="L26" s="302">
        <f>SUM(L22:L25)</f>
        <v>0</v>
      </c>
      <c r="M26" s="240">
        <f>SUM(M22:M25)</f>
        <v>17.2</v>
      </c>
      <c r="N26" s="241"/>
      <c r="O26" s="302">
        <f>SUM(O22:O25)</f>
        <v>172</v>
      </c>
      <c r="P26" s="302">
        <f>SUM(P22:P25)</f>
        <v>311.0258666666667</v>
      </c>
      <c r="Q26" s="302">
        <f>Q20+P26</f>
        <v>10716.281175555556</v>
      </c>
    </row>
    <row r="27" spans="1:17" ht="11.25">
      <c r="A27" s="230" t="s">
        <v>38</v>
      </c>
      <c r="B27" s="219"/>
      <c r="C27" s="219"/>
      <c r="D27" s="219"/>
      <c r="E27" s="251"/>
      <c r="F27" s="220"/>
      <c r="G27" s="221"/>
      <c r="H27" s="253"/>
      <c r="I27" s="221"/>
      <c r="J27" s="292"/>
      <c r="K27" s="220"/>
      <c r="L27" s="253"/>
      <c r="M27" s="220"/>
      <c r="N27" s="221"/>
      <c r="O27" s="253"/>
      <c r="P27" s="255"/>
      <c r="Q27" s="253" t="s">
        <v>3</v>
      </c>
    </row>
    <row r="28" spans="1:17" ht="11.25">
      <c r="A28" s="231"/>
      <c r="B28" s="222" t="s">
        <v>220</v>
      </c>
      <c r="C28" s="99"/>
      <c r="D28" s="99"/>
      <c r="E28" s="249" t="s">
        <v>34</v>
      </c>
      <c r="F28" s="100"/>
      <c r="G28" s="108"/>
      <c r="H28" s="301"/>
      <c r="I28" s="108"/>
      <c r="J28" s="291"/>
      <c r="K28" s="100"/>
      <c r="L28" s="301"/>
      <c r="M28" s="100">
        <v>10</v>
      </c>
      <c r="N28" s="108">
        <f>'[2]HOAssumptions'!G$38</f>
        <v>10</v>
      </c>
      <c r="O28" s="301">
        <f>+$N28*$M28</f>
        <v>100</v>
      </c>
      <c r="P28" s="283">
        <f>$O28+$L28+$H28</f>
        <v>100</v>
      </c>
      <c r="Q28" s="301"/>
    </row>
    <row r="29" spans="1:17" ht="11.25">
      <c r="A29" s="231"/>
      <c r="B29" s="222" t="s">
        <v>216</v>
      </c>
      <c r="C29" s="99"/>
      <c r="D29" s="99"/>
      <c r="E29" s="249" t="s">
        <v>71</v>
      </c>
      <c r="F29" s="100">
        <v>1</v>
      </c>
      <c r="G29" s="108">
        <f>Machinery!R$5+Machinery!R$10</f>
        <v>15.292533333333333</v>
      </c>
      <c r="H29" s="301">
        <f>F29*G29</f>
        <v>15.292533333333333</v>
      </c>
      <c r="I29" s="108"/>
      <c r="J29" s="291"/>
      <c r="K29" s="100"/>
      <c r="L29" s="301"/>
      <c r="M29" s="100">
        <f>F29*1.2</f>
        <v>1.2</v>
      </c>
      <c r="N29" s="108">
        <f>'[2]HOAssumptions'!G$38</f>
        <v>10</v>
      </c>
      <c r="O29" s="301">
        <f>+$N29*$M29</f>
        <v>12</v>
      </c>
      <c r="P29" s="283">
        <f>$O29+$L29+$H29</f>
        <v>27.29253333333333</v>
      </c>
      <c r="Q29" s="301"/>
    </row>
    <row r="30" spans="1:17" ht="11.25">
      <c r="A30" s="231"/>
      <c r="B30" s="222" t="s">
        <v>36</v>
      </c>
      <c r="C30" s="99"/>
      <c r="D30" s="99"/>
      <c r="E30" s="249" t="s">
        <v>147</v>
      </c>
      <c r="F30" s="100">
        <v>16</v>
      </c>
      <c r="G30" s="108">
        <f>Machinery!R$18</f>
        <v>7.733333333333334</v>
      </c>
      <c r="H30" s="301">
        <f>F30*G30</f>
        <v>123.73333333333335</v>
      </c>
      <c r="I30" s="108"/>
      <c r="J30" s="291"/>
      <c r="K30" s="100"/>
      <c r="L30" s="301"/>
      <c r="M30" s="100">
        <f>F30/4*0.5</f>
        <v>2</v>
      </c>
      <c r="N30" s="108">
        <f>'[2]HOAssumptions'!G$38</f>
        <v>10</v>
      </c>
      <c r="O30" s="301">
        <f>+$N30*$M30</f>
        <v>20</v>
      </c>
      <c r="P30" s="283">
        <f>$O30+$L30+$H30</f>
        <v>143.73333333333335</v>
      </c>
      <c r="Q30" s="301"/>
    </row>
    <row r="31" spans="1:17" ht="11.25">
      <c r="A31" s="261" t="s">
        <v>39</v>
      </c>
      <c r="B31" s="236"/>
      <c r="C31" s="236"/>
      <c r="D31" s="236"/>
      <c r="E31" s="250"/>
      <c r="F31" s="240">
        <f>SUM(F28:F30)</f>
        <v>17</v>
      </c>
      <c r="G31" s="241"/>
      <c r="H31" s="302">
        <f>SUM(H28:H30)</f>
        <v>139.02586666666667</v>
      </c>
      <c r="I31" s="241"/>
      <c r="J31" s="295"/>
      <c r="K31" s="240"/>
      <c r="L31" s="302">
        <f>SUM(L28:L30)</f>
        <v>0</v>
      </c>
      <c r="M31" s="240">
        <f>SUM(M28:M30)</f>
        <v>13.2</v>
      </c>
      <c r="N31" s="241"/>
      <c r="O31" s="302">
        <f>SUM(O28:O30)</f>
        <v>132</v>
      </c>
      <c r="P31" s="302">
        <f>SUM(P28:P30)</f>
        <v>271.0258666666667</v>
      </c>
      <c r="Q31" s="302">
        <f>Q26+P31</f>
        <v>10987.307042222223</v>
      </c>
    </row>
    <row r="32" spans="1:17" ht="11.25">
      <c r="A32" s="230" t="s">
        <v>40</v>
      </c>
      <c r="B32" s="219"/>
      <c r="C32" s="219"/>
      <c r="D32" s="219"/>
      <c r="E32" s="251"/>
      <c r="F32" s="220"/>
      <c r="G32" s="221"/>
      <c r="H32" s="253"/>
      <c r="I32" s="221"/>
      <c r="J32" s="292"/>
      <c r="K32" s="220"/>
      <c r="L32" s="253"/>
      <c r="M32" s="220"/>
      <c r="N32" s="221"/>
      <c r="O32" s="253"/>
      <c r="P32" s="255"/>
      <c r="Q32" s="253" t="s">
        <v>3</v>
      </c>
    </row>
    <row r="33" spans="1:17" ht="11.25">
      <c r="A33" s="231"/>
      <c r="B33" s="222" t="s">
        <v>220</v>
      </c>
      <c r="C33" s="99"/>
      <c r="D33" s="99"/>
      <c r="E33" s="249" t="s">
        <v>34</v>
      </c>
      <c r="F33" s="100"/>
      <c r="G33" s="108"/>
      <c r="H33" s="301"/>
      <c r="I33" s="108"/>
      <c r="J33" s="291"/>
      <c r="K33" s="100"/>
      <c r="L33" s="301"/>
      <c r="M33" s="100">
        <v>10</v>
      </c>
      <c r="N33" s="108">
        <f>'[2]HOAssumptions'!G$38</f>
        <v>10</v>
      </c>
      <c r="O33" s="301">
        <f>+$N33*$M33</f>
        <v>100</v>
      </c>
      <c r="P33" s="283">
        <f>$O33+$L33+$H33</f>
        <v>100</v>
      </c>
      <c r="Q33" s="301"/>
    </row>
    <row r="34" spans="1:17" ht="11.25">
      <c r="A34" s="231"/>
      <c r="B34" s="222" t="s">
        <v>216</v>
      </c>
      <c r="C34" s="99"/>
      <c r="D34" s="99"/>
      <c r="E34" s="249" t="s">
        <v>71</v>
      </c>
      <c r="F34" s="100">
        <v>1</v>
      </c>
      <c r="G34" s="108">
        <f>Machinery!R$5+Machinery!R$10</f>
        <v>15.292533333333333</v>
      </c>
      <c r="H34" s="301">
        <f>F34*G34</f>
        <v>15.292533333333333</v>
      </c>
      <c r="I34" s="108"/>
      <c r="J34" s="291"/>
      <c r="K34" s="100"/>
      <c r="L34" s="301"/>
      <c r="M34" s="100">
        <f>F34*1.2</f>
        <v>1.2</v>
      </c>
      <c r="N34" s="108">
        <f>'[2]HOAssumptions'!G$38</f>
        <v>10</v>
      </c>
      <c r="O34" s="301">
        <f>+$N34*$M34</f>
        <v>12</v>
      </c>
      <c r="P34" s="283">
        <f>$O34+$L34+$H34</f>
        <v>27.29253333333333</v>
      </c>
      <c r="Q34" s="301"/>
    </row>
    <row r="35" spans="1:17" ht="11.25">
      <c r="A35" s="231"/>
      <c r="B35" s="222" t="s">
        <v>36</v>
      </c>
      <c r="C35" s="99"/>
      <c r="D35" s="99"/>
      <c r="E35" s="249" t="s">
        <v>147</v>
      </c>
      <c r="F35" s="100">
        <v>16</v>
      </c>
      <c r="G35" s="108">
        <f>Machinery!R$18</f>
        <v>7.733333333333334</v>
      </c>
      <c r="H35" s="301">
        <f>F35*G35</f>
        <v>123.73333333333335</v>
      </c>
      <c r="I35" s="108"/>
      <c r="J35" s="291"/>
      <c r="K35" s="100"/>
      <c r="L35" s="301"/>
      <c r="M35" s="100">
        <f>F35/4*0.5</f>
        <v>2</v>
      </c>
      <c r="N35" s="108">
        <f>'[2]HOAssumptions'!G$38</f>
        <v>10</v>
      </c>
      <c r="O35" s="301">
        <f>+$N35*$M35</f>
        <v>20</v>
      </c>
      <c r="P35" s="283">
        <f>$O35+$L35+$H35</f>
        <v>143.73333333333335</v>
      </c>
      <c r="Q35" s="301"/>
    </row>
    <row r="36" spans="1:17" ht="11.25">
      <c r="A36" s="261" t="s">
        <v>41</v>
      </c>
      <c r="B36" s="236"/>
      <c r="C36" s="236"/>
      <c r="D36" s="236"/>
      <c r="E36" s="250"/>
      <c r="F36" s="240">
        <f>SUM(F33:F35)</f>
        <v>17</v>
      </c>
      <c r="G36" s="241"/>
      <c r="H36" s="302">
        <f>SUM(H33:H35)</f>
        <v>139.02586666666667</v>
      </c>
      <c r="I36" s="241"/>
      <c r="J36" s="295"/>
      <c r="K36" s="240"/>
      <c r="L36" s="302">
        <f>SUM(L33:L35)</f>
        <v>0</v>
      </c>
      <c r="M36" s="240">
        <f>SUM(M33:M35)</f>
        <v>13.2</v>
      </c>
      <c r="N36" s="241"/>
      <c r="O36" s="302">
        <f>SUM(O33:O35)</f>
        <v>132</v>
      </c>
      <c r="P36" s="302">
        <f>SUM(P33:P35)</f>
        <v>271.0258666666667</v>
      </c>
      <c r="Q36" s="302">
        <f>Q31+P36</f>
        <v>11258.33290888889</v>
      </c>
    </row>
    <row r="37" spans="1:17" ht="11.25">
      <c r="A37" s="230" t="s">
        <v>42</v>
      </c>
      <c r="B37" s="219"/>
      <c r="C37" s="219"/>
      <c r="D37" s="219"/>
      <c r="E37" s="251"/>
      <c r="F37" s="220"/>
      <c r="G37" s="221"/>
      <c r="H37" s="253"/>
      <c r="I37" s="221"/>
      <c r="J37" s="292"/>
      <c r="K37" s="220"/>
      <c r="L37" s="253"/>
      <c r="M37" s="220"/>
      <c r="N37" s="221"/>
      <c r="O37" s="253"/>
      <c r="P37" s="255"/>
      <c r="Q37" s="253" t="s">
        <v>3</v>
      </c>
    </row>
    <row r="38" spans="1:17" ht="11.25">
      <c r="A38" s="231"/>
      <c r="B38" s="222" t="s">
        <v>216</v>
      </c>
      <c r="C38" s="99"/>
      <c r="D38" s="99"/>
      <c r="E38" s="249" t="s">
        <v>71</v>
      </c>
      <c r="F38" s="100">
        <v>1</v>
      </c>
      <c r="G38" s="108">
        <f>Machinery!R$5+Machinery!R$10</f>
        <v>15.292533333333333</v>
      </c>
      <c r="H38" s="301">
        <f>F38*G38</f>
        <v>15.292533333333333</v>
      </c>
      <c r="I38" s="108"/>
      <c r="J38" s="291"/>
      <c r="K38" s="100"/>
      <c r="L38" s="301"/>
      <c r="M38" s="100">
        <f>F38*1.2</f>
        <v>1.2</v>
      </c>
      <c r="N38" s="108">
        <f>'[2]HOAssumptions'!G$38</f>
        <v>10</v>
      </c>
      <c r="O38" s="301">
        <f>+$N38*$M38</f>
        <v>12</v>
      </c>
      <c r="P38" s="283">
        <f>$O38+$L38+$H38</f>
        <v>27.29253333333333</v>
      </c>
      <c r="Q38" s="301"/>
    </row>
    <row r="39" spans="1:17" ht="11.25">
      <c r="A39" s="231"/>
      <c r="B39" s="222" t="s">
        <v>36</v>
      </c>
      <c r="C39" s="99"/>
      <c r="D39" s="99"/>
      <c r="E39" s="249" t="s">
        <v>147</v>
      </c>
      <c r="F39" s="100">
        <v>16</v>
      </c>
      <c r="G39" s="108">
        <f>Machinery!R$18</f>
        <v>7.733333333333334</v>
      </c>
      <c r="H39" s="301">
        <f>F39*G39</f>
        <v>123.73333333333335</v>
      </c>
      <c r="I39" s="108"/>
      <c r="J39" s="291"/>
      <c r="K39" s="100"/>
      <c r="L39" s="301"/>
      <c r="M39" s="100">
        <f>F39/4*0.5</f>
        <v>2</v>
      </c>
      <c r="N39" s="108">
        <f>'[2]HOAssumptions'!G$38</f>
        <v>10</v>
      </c>
      <c r="O39" s="301">
        <f>+$N39*$M39</f>
        <v>20</v>
      </c>
      <c r="P39" s="283">
        <f>$O39+$L39+$H39</f>
        <v>143.73333333333335</v>
      </c>
      <c r="Q39" s="301"/>
    </row>
    <row r="40" spans="1:17" ht="11.25">
      <c r="A40" s="262" t="s">
        <v>43</v>
      </c>
      <c r="B40" s="236"/>
      <c r="C40" s="236"/>
      <c r="D40" s="236"/>
      <c r="E40" s="250"/>
      <c r="F40" s="240">
        <f>SUM(F$38:F$39)</f>
        <v>17</v>
      </c>
      <c r="G40" s="241"/>
      <c r="H40" s="302">
        <f>SUM(H38:H39)</f>
        <v>139.02586666666667</v>
      </c>
      <c r="I40" s="241"/>
      <c r="J40" s="295"/>
      <c r="K40" s="240"/>
      <c r="L40" s="302">
        <f>SUM(L38:L39)</f>
        <v>0</v>
      </c>
      <c r="M40" s="240">
        <f>SUM(M38:M39)</f>
        <v>3.2</v>
      </c>
      <c r="N40" s="241"/>
      <c r="O40" s="302">
        <f>SUM(O$38:O$39)</f>
        <v>32</v>
      </c>
      <c r="P40" s="302">
        <f>SUM(P38:P39)</f>
        <v>171.02586666666667</v>
      </c>
      <c r="Q40" s="302">
        <f>Q36+P40</f>
        <v>11429.358775555556</v>
      </c>
    </row>
    <row r="41" spans="1:17" ht="11.25">
      <c r="A41" s="230" t="s">
        <v>15</v>
      </c>
      <c r="B41" s="219"/>
      <c r="C41" s="219"/>
      <c r="D41" s="219"/>
      <c r="E41" s="251"/>
      <c r="F41" s="220"/>
      <c r="G41" s="221"/>
      <c r="H41" s="253"/>
      <c r="I41" s="221"/>
      <c r="J41" s="292"/>
      <c r="K41" s="220"/>
      <c r="L41" s="253"/>
      <c r="M41" s="220"/>
      <c r="N41" s="221"/>
      <c r="O41" s="253"/>
      <c r="P41" s="255"/>
      <c r="Q41" s="253" t="s">
        <v>3</v>
      </c>
    </row>
    <row r="42" spans="1:17" ht="11.25">
      <c r="A42" s="231"/>
      <c r="B42" s="222" t="s">
        <v>221</v>
      </c>
      <c r="C42" s="99"/>
      <c r="D42" s="99"/>
      <c r="E42" s="249" t="s">
        <v>29</v>
      </c>
      <c r="F42" s="100"/>
      <c r="G42" s="108"/>
      <c r="H42" s="301"/>
      <c r="I42" s="108"/>
      <c r="J42" s="291"/>
      <c r="K42" s="100"/>
      <c r="L42" s="301"/>
      <c r="M42" s="100">
        <v>26</v>
      </c>
      <c r="N42" s="108">
        <f>'[2]HOAssumptions'!G$38</f>
        <v>10</v>
      </c>
      <c r="O42" s="301">
        <f>$M42*$N42</f>
        <v>260</v>
      </c>
      <c r="P42" s="283">
        <f>$O42+$L42+$H42</f>
        <v>260</v>
      </c>
      <c r="Q42" s="301"/>
    </row>
    <row r="43" spans="1:17" ht="11.25">
      <c r="A43" s="231"/>
      <c r="B43" s="222" t="s">
        <v>216</v>
      </c>
      <c r="C43" s="99"/>
      <c r="D43" s="99"/>
      <c r="E43" s="249" t="s">
        <v>71</v>
      </c>
      <c r="F43" s="100">
        <v>1</v>
      </c>
      <c r="G43" s="108">
        <f>Machinery!R$5+Machinery!R$10</f>
        <v>15.292533333333333</v>
      </c>
      <c r="H43" s="301">
        <f>F43*G43</f>
        <v>15.292533333333333</v>
      </c>
      <c r="I43" s="108"/>
      <c r="J43" s="291"/>
      <c r="K43" s="100"/>
      <c r="L43" s="301"/>
      <c r="M43" s="100">
        <f>F43*1.2</f>
        <v>1.2</v>
      </c>
      <c r="N43" s="108">
        <f>'[2]HOAssumptions'!G$38</f>
        <v>10</v>
      </c>
      <c r="O43" s="301">
        <f>+$N43*$M43</f>
        <v>12</v>
      </c>
      <c r="P43" s="283">
        <f>$O43+$L43+$H43</f>
        <v>27.29253333333333</v>
      </c>
      <c r="Q43" s="301"/>
    </row>
    <row r="44" spans="1:17" ht="11.25">
      <c r="A44" s="231"/>
      <c r="B44" s="222" t="s">
        <v>36</v>
      </c>
      <c r="C44" s="99"/>
      <c r="D44" s="99"/>
      <c r="E44" s="249" t="s">
        <v>147</v>
      </c>
      <c r="F44" s="100">
        <v>16</v>
      </c>
      <c r="G44" s="108">
        <f>Machinery!R$18</f>
        <v>7.733333333333334</v>
      </c>
      <c r="H44" s="301">
        <f>F44*G44</f>
        <v>123.73333333333335</v>
      </c>
      <c r="I44" s="108"/>
      <c r="J44" s="291"/>
      <c r="K44" s="100"/>
      <c r="L44" s="301"/>
      <c r="M44" s="100">
        <f>F44/4*0.5</f>
        <v>2</v>
      </c>
      <c r="N44" s="108">
        <f>'[2]HOAssumptions'!G$38</f>
        <v>10</v>
      </c>
      <c r="O44" s="301">
        <f>+$N44*$M44</f>
        <v>20</v>
      </c>
      <c r="P44" s="283">
        <f>$O44+$L44+$H44</f>
        <v>143.73333333333335</v>
      </c>
      <c r="Q44" s="301"/>
    </row>
    <row r="45" spans="1:17" ht="11.25">
      <c r="A45" s="262" t="s">
        <v>153</v>
      </c>
      <c r="B45" s="236"/>
      <c r="C45" s="236"/>
      <c r="D45" s="236"/>
      <c r="E45" s="250"/>
      <c r="F45" s="240">
        <f>SUM(F42:F44)</f>
        <v>17</v>
      </c>
      <c r="G45" s="241"/>
      <c r="H45" s="302">
        <f>SUM(H42:H44)</f>
        <v>139.02586666666667</v>
      </c>
      <c r="I45" s="241"/>
      <c r="J45" s="295"/>
      <c r="K45" s="240"/>
      <c r="L45" s="302">
        <f>SUM(L42:L44)</f>
        <v>0</v>
      </c>
      <c r="M45" s="240">
        <f>SUM(M42:M44)</f>
        <v>29.2</v>
      </c>
      <c r="N45" s="241"/>
      <c r="O45" s="302">
        <f>SUM(O42:O44)</f>
        <v>292</v>
      </c>
      <c r="P45" s="302">
        <f>SUM(P42:P44)</f>
        <v>431.0258666666667</v>
      </c>
      <c r="Q45" s="302">
        <f>Q40+P45</f>
        <v>11860.384642222223</v>
      </c>
    </row>
    <row r="46" spans="1:17" ht="11.25">
      <c r="A46" s="230" t="s">
        <v>0</v>
      </c>
      <c r="B46" s="219"/>
      <c r="C46" s="219"/>
      <c r="D46" s="219"/>
      <c r="E46" s="251"/>
      <c r="F46" s="220"/>
      <c r="G46" s="221"/>
      <c r="H46" s="253"/>
      <c r="I46" s="221"/>
      <c r="J46" s="292"/>
      <c r="K46" s="220"/>
      <c r="L46" s="253"/>
      <c r="M46" s="220"/>
      <c r="N46" s="221"/>
      <c r="O46" s="253"/>
      <c r="P46" s="255"/>
      <c r="Q46" s="253" t="s">
        <v>3</v>
      </c>
    </row>
    <row r="47" spans="1:17" ht="11.25">
      <c r="A47" s="231"/>
      <c r="B47" s="222" t="s">
        <v>221</v>
      </c>
      <c r="C47" s="99"/>
      <c r="D47" s="99"/>
      <c r="E47" s="249" t="s">
        <v>29</v>
      </c>
      <c r="F47" s="100"/>
      <c r="G47" s="108"/>
      <c r="H47" s="301"/>
      <c r="I47" s="108"/>
      <c r="J47" s="291"/>
      <c r="K47" s="100"/>
      <c r="L47" s="301"/>
      <c r="M47" s="100">
        <v>26</v>
      </c>
      <c r="N47" s="108">
        <f>'[2]HOAssumptions'!G$38</f>
        <v>10</v>
      </c>
      <c r="O47" s="301">
        <f>$M47*$N47</f>
        <v>260</v>
      </c>
      <c r="P47" s="283">
        <f>$O47+$L47+$H47</f>
        <v>260</v>
      </c>
      <c r="Q47" s="301"/>
    </row>
    <row r="48" spans="1:17" ht="11.25">
      <c r="A48" s="262" t="s">
        <v>1</v>
      </c>
      <c r="B48" s="236"/>
      <c r="C48" s="236"/>
      <c r="D48" s="236"/>
      <c r="E48" s="250"/>
      <c r="F48" s="240">
        <f>SUM(F47:F47)</f>
        <v>0</v>
      </c>
      <c r="G48" s="241"/>
      <c r="H48" s="302">
        <f>SUM(H47:H47)</f>
        <v>0</v>
      </c>
      <c r="I48" s="241"/>
      <c r="J48" s="295"/>
      <c r="K48" s="240"/>
      <c r="L48" s="302">
        <f>SUM(L47:L47)</f>
        <v>0</v>
      </c>
      <c r="M48" s="240">
        <f>SUM(M47:M47)</f>
        <v>26</v>
      </c>
      <c r="N48" s="241"/>
      <c r="O48" s="302">
        <f>SUM(O47:O47)</f>
        <v>260</v>
      </c>
      <c r="P48" s="302">
        <f>SUM(P47:P47)</f>
        <v>260</v>
      </c>
      <c r="Q48" s="302">
        <f>Q45+P48</f>
        <v>12120.384642222223</v>
      </c>
    </row>
    <row r="49" spans="1:23" ht="11.25">
      <c r="A49" s="200" t="s">
        <v>196</v>
      </c>
      <c r="B49" s="53"/>
      <c r="C49" s="53"/>
      <c r="D49" s="53"/>
      <c r="E49" s="52"/>
      <c r="F49" s="201"/>
      <c r="G49" s="54"/>
      <c r="H49" s="54"/>
      <c r="I49" s="263"/>
      <c r="J49" s="291"/>
      <c r="K49" s="52"/>
      <c r="L49" s="202"/>
      <c r="M49" s="52"/>
      <c r="N49" s="54"/>
      <c r="O49" s="54"/>
      <c r="P49" s="175"/>
      <c r="Q49" s="177" t="s">
        <v>3</v>
      </c>
      <c r="S49" s="186"/>
      <c r="T49" s="188"/>
      <c r="U49" s="188"/>
      <c r="V49" s="192"/>
      <c r="W49" s="187"/>
    </row>
    <row r="50" spans="1:23" ht="11.25">
      <c r="A50" s="203"/>
      <c r="B50" s="52" t="s">
        <v>198</v>
      </c>
      <c r="C50" s="53"/>
      <c r="D50" s="53"/>
      <c r="E50" s="52"/>
      <c r="F50" s="201"/>
      <c r="G50" s="54"/>
      <c r="H50" s="54"/>
      <c r="I50" s="263">
        <f>'[2]HOAssumptions'!G58</f>
        <v>100</v>
      </c>
      <c r="J50" s="291" t="s">
        <v>98</v>
      </c>
      <c r="K50" s="52">
        <v>1</v>
      </c>
      <c r="L50" s="202">
        <f>$I50*K50</f>
        <v>100</v>
      </c>
      <c r="M50" s="52"/>
      <c r="N50" s="54"/>
      <c r="O50" s="54"/>
      <c r="P50" s="175">
        <f>$L50+$H50+$O50</f>
        <v>100</v>
      </c>
      <c r="Q50" s="175"/>
      <c r="S50" s="186"/>
      <c r="T50" s="188"/>
      <c r="U50" s="188"/>
      <c r="V50" s="192"/>
      <c r="W50" s="187"/>
    </row>
    <row r="51" spans="1:23" ht="11.25">
      <c r="A51" s="203"/>
      <c r="B51" s="52" t="s">
        <v>200</v>
      </c>
      <c r="C51" s="53"/>
      <c r="D51" s="53"/>
      <c r="E51" s="52"/>
      <c r="F51" s="201"/>
      <c r="G51" s="54"/>
      <c r="H51" s="54"/>
      <c r="I51" s="263">
        <f>'[2]HOAssumptions'!G59</f>
        <v>40</v>
      </c>
      <c r="J51" s="291" t="s">
        <v>98</v>
      </c>
      <c r="K51" s="52">
        <v>1</v>
      </c>
      <c r="L51" s="202">
        <f>$I51*K51</f>
        <v>40</v>
      </c>
      <c r="M51" s="52"/>
      <c r="N51" s="54"/>
      <c r="O51" s="54"/>
      <c r="P51" s="175">
        <f>$L51+$H51+$O51</f>
        <v>40</v>
      </c>
      <c r="Q51" s="175"/>
      <c r="S51" s="186"/>
      <c r="T51" s="188"/>
      <c r="U51" s="188"/>
      <c r="V51" s="192"/>
      <c r="W51" s="187"/>
    </row>
    <row r="52" spans="1:23" ht="11.25">
      <c r="A52" s="203"/>
      <c r="B52" s="52" t="s">
        <v>201</v>
      </c>
      <c r="C52" s="53"/>
      <c r="D52" s="53"/>
      <c r="E52" s="52"/>
      <c r="F52" s="201"/>
      <c r="G52" s="54"/>
      <c r="H52" s="54"/>
      <c r="I52" s="263">
        <f>'[2]HOAssumptions'!G60</f>
        <v>0</v>
      </c>
      <c r="J52" s="291" t="s">
        <v>98</v>
      </c>
      <c r="K52" s="52">
        <v>1</v>
      </c>
      <c r="L52" s="202">
        <f>$I52*K52</f>
        <v>0</v>
      </c>
      <c r="M52" s="52"/>
      <c r="N52" s="54"/>
      <c r="O52" s="54"/>
      <c r="P52" s="175">
        <f>$L52+$H52+$O52</f>
        <v>0</v>
      </c>
      <c r="Q52" s="175"/>
      <c r="S52" s="53"/>
      <c r="T52" s="99"/>
      <c r="U52" s="99"/>
      <c r="V52" s="108"/>
      <c r="W52" s="189"/>
    </row>
    <row r="53" spans="1:23" ht="11.25">
      <c r="A53" s="203"/>
      <c r="B53" s="52" t="s">
        <v>222</v>
      </c>
      <c r="C53" s="53"/>
      <c r="D53" s="53"/>
      <c r="E53" s="168"/>
      <c r="F53" s="52"/>
      <c r="G53" s="54"/>
      <c r="H53" s="54"/>
      <c r="I53" s="263">
        <v>830</v>
      </c>
      <c r="J53" s="291" t="s">
        <v>98</v>
      </c>
      <c r="K53" s="52">
        <v>1</v>
      </c>
      <c r="L53" s="202">
        <f>$I53*K53</f>
        <v>830</v>
      </c>
      <c r="M53" s="52"/>
      <c r="N53" s="54"/>
      <c r="O53" s="54"/>
      <c r="P53" s="175">
        <f>$L53+$H53+$O53</f>
        <v>830</v>
      </c>
      <c r="Q53" s="175"/>
      <c r="S53" s="53"/>
      <c r="T53" s="99"/>
      <c r="U53" s="99"/>
      <c r="V53" s="108"/>
      <c r="W53" s="189"/>
    </row>
    <row r="54" spans="1:17" ht="11.25">
      <c r="A54" s="204" t="s">
        <v>204</v>
      </c>
      <c r="B54" s="181"/>
      <c r="C54" s="181"/>
      <c r="D54" s="181"/>
      <c r="E54" s="205"/>
      <c r="F54" s="206"/>
      <c r="G54" s="184"/>
      <c r="H54" s="184"/>
      <c r="I54" s="303"/>
      <c r="J54" s="183"/>
      <c r="K54" s="183"/>
      <c r="L54" s="207">
        <f>SUM(L50:L53)</f>
        <v>970</v>
      </c>
      <c r="M54" s="183" t="s">
        <v>3</v>
      </c>
      <c r="N54" s="184"/>
      <c r="O54" s="296"/>
      <c r="P54" s="207">
        <f>SUM(P50:P53)</f>
        <v>970</v>
      </c>
      <c r="Q54" s="208">
        <f>Q48+P54</f>
        <v>13090.384642222223</v>
      </c>
    </row>
    <row r="55" spans="1:17" ht="11.25">
      <c r="A55" s="200" t="s">
        <v>205</v>
      </c>
      <c r="B55" s="53"/>
      <c r="C55" s="53"/>
      <c r="D55" s="53"/>
      <c r="E55" s="209"/>
      <c r="F55" s="210">
        <f>F6+F14+F20+F26+F31+F36+F40+F45+F48</f>
        <v>127.333</v>
      </c>
      <c r="G55" s="152"/>
      <c r="H55" s="216">
        <f>H6+H14+H20+H26+H31+H36+H40+H45+H48</f>
        <v>976.384642222222</v>
      </c>
      <c r="I55" s="304"/>
      <c r="J55" s="154"/>
      <c r="K55" s="154"/>
      <c r="L55" s="216">
        <f>L6+L14+L20+L26+L31+L36+L40+L45+L48</f>
        <v>8410</v>
      </c>
      <c r="M55" s="210">
        <f>M6+M14+M20+M26+M31+M36+M40+M45+M48</f>
        <v>273.3999999999999</v>
      </c>
      <c r="N55" s="152"/>
      <c r="O55" s="216">
        <f>O6+O14+O20+O26+O31+O36+O40+O45+O48</f>
        <v>2734</v>
      </c>
      <c r="P55" s="216">
        <f>P6+P14+P20+P26+P31+P36+P40+P45+P48</f>
        <v>12120.384642222223</v>
      </c>
      <c r="Q55" s="177"/>
    </row>
    <row r="56" spans="1:17" ht="11.25">
      <c r="A56" s="204" t="s">
        <v>206</v>
      </c>
      <c r="B56" s="181"/>
      <c r="C56" s="181"/>
      <c r="D56" s="181"/>
      <c r="E56" s="205"/>
      <c r="F56" s="206" t="s">
        <v>3</v>
      </c>
      <c r="G56" s="184"/>
      <c r="H56" s="207">
        <f>H6+H14+H20+H26+H31+H36+H40+H45+H48+H54</f>
        <v>976.384642222222</v>
      </c>
      <c r="I56" s="303"/>
      <c r="J56" s="183"/>
      <c r="K56" s="183"/>
      <c r="L56" s="207">
        <f>L6+L14+L20+L26+L31+L36+L40+L45+L48+L54</f>
        <v>9380</v>
      </c>
      <c r="M56" s="206" t="s">
        <v>3</v>
      </c>
      <c r="N56" s="184"/>
      <c r="O56" s="207">
        <f>O6+O14+O20+O26+O31+O36+O40+O45+O48+O54</f>
        <v>2734</v>
      </c>
      <c r="P56" s="207">
        <f>P6+P14+P20+P26+P31+P36+P40+P45+P48+P54</f>
        <v>13090.384642222223</v>
      </c>
      <c r="Q56" s="215"/>
    </row>
    <row r="58" ht="11.25">
      <c r="J58" s="102"/>
    </row>
  </sheetData>
  <sheetProtection password="ECAF" sheet="1" selectLockedCells="1"/>
  <mergeCells count="3">
    <mergeCell ref="F2:H2"/>
    <mergeCell ref="I2:L2"/>
    <mergeCell ref="M2:O2"/>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0"/>
  </sheetPr>
  <dimension ref="A1:W93"/>
  <sheetViews>
    <sheetView showGridLines="0" zoomScalePageLayoutView="0" workbookViewId="0" topLeftCell="A45">
      <selection activeCell="A1" sqref="A1:Q94"/>
    </sheetView>
  </sheetViews>
  <sheetFormatPr defaultColWidth="11.421875" defaultRowHeight="12.75"/>
  <cols>
    <col min="1" max="1" width="11.421875" style="312" customWidth="1"/>
    <col min="2" max="3" width="11.421875" style="9" customWidth="1"/>
    <col min="4" max="4" width="6.7109375" style="9" customWidth="1"/>
    <col min="5" max="5" width="26.00390625" style="9" customWidth="1"/>
    <col min="6" max="6" width="9.28125" style="9" customWidth="1"/>
    <col min="7" max="7" width="8.00390625" style="9" customWidth="1"/>
    <col min="8" max="8" width="10.8515625" style="9" customWidth="1"/>
    <col min="9" max="9" width="9.421875" style="9" customWidth="1"/>
    <col min="10" max="10" width="6.421875" style="9" customWidth="1"/>
    <col min="11" max="11" width="8.421875" style="9" customWidth="1"/>
    <col min="12" max="12" width="10.7109375" style="9" customWidth="1"/>
    <col min="13" max="13" width="8.421875" style="9" customWidth="1"/>
    <col min="14" max="14" width="7.8515625" style="9" customWidth="1"/>
    <col min="15" max="15" width="11.421875" style="9" customWidth="1"/>
    <col min="16" max="16" width="13.421875" style="9" bestFit="1" customWidth="1"/>
    <col min="17" max="17" width="12.7109375" style="9" customWidth="1"/>
    <col min="18" max="16384" width="11.421875" style="9" customWidth="1"/>
  </cols>
  <sheetData>
    <row r="1" spans="1:17" ht="11.25">
      <c r="A1" s="307" t="s">
        <v>223</v>
      </c>
      <c r="B1" s="99"/>
      <c r="C1" s="99"/>
      <c r="D1" s="99"/>
      <c r="E1" s="99"/>
      <c r="F1" s="149"/>
      <c r="G1" s="98"/>
      <c r="H1" s="106"/>
      <c r="I1" s="99"/>
      <c r="J1" s="51"/>
      <c r="K1" s="99"/>
      <c r="L1" s="106"/>
      <c r="M1" s="99"/>
      <c r="N1" s="55"/>
      <c r="O1" s="99"/>
      <c r="P1" s="99"/>
      <c r="Q1" s="99"/>
    </row>
    <row r="2" spans="1:17" ht="12.75" customHeight="1">
      <c r="A2" s="276" t="s">
        <v>3</v>
      </c>
      <c r="B2" s="277" t="s">
        <v>3</v>
      </c>
      <c r="C2" s="159"/>
      <c r="D2" s="159"/>
      <c r="E2" s="165"/>
      <c r="F2" s="463" t="s">
        <v>50</v>
      </c>
      <c r="G2" s="464"/>
      <c r="H2" s="465"/>
      <c r="I2" s="466" t="s">
        <v>51</v>
      </c>
      <c r="J2" s="467"/>
      <c r="K2" s="467"/>
      <c r="L2" s="468"/>
      <c r="M2" s="463" t="s">
        <v>52</v>
      </c>
      <c r="N2" s="464"/>
      <c r="O2" s="465"/>
      <c r="P2" s="173" t="s">
        <v>5</v>
      </c>
      <c r="Q2" s="173" t="s">
        <v>6</v>
      </c>
    </row>
    <row r="3" spans="1:17" ht="11.25">
      <c r="A3" s="278" t="s">
        <v>4</v>
      </c>
      <c r="B3" s="228" t="s">
        <v>207</v>
      </c>
      <c r="C3" s="229"/>
      <c r="D3" s="157"/>
      <c r="E3" s="279"/>
      <c r="F3" s="155" t="s">
        <v>7</v>
      </c>
      <c r="G3" s="156" t="s">
        <v>8</v>
      </c>
      <c r="H3" s="156" t="s">
        <v>9</v>
      </c>
      <c r="I3" s="280" t="s">
        <v>10</v>
      </c>
      <c r="J3" s="155" t="s">
        <v>11</v>
      </c>
      <c r="K3" s="155" t="s">
        <v>75</v>
      </c>
      <c r="L3" s="281" t="s">
        <v>12</v>
      </c>
      <c r="M3" s="155" t="s">
        <v>7</v>
      </c>
      <c r="N3" s="155" t="s">
        <v>8</v>
      </c>
      <c r="O3" s="155" t="s">
        <v>13</v>
      </c>
      <c r="P3" s="282" t="s">
        <v>14</v>
      </c>
      <c r="Q3" s="282" t="s">
        <v>14</v>
      </c>
    </row>
    <row r="4" spans="1:17" ht="11.25">
      <c r="A4" s="307" t="s">
        <v>27</v>
      </c>
      <c r="B4" s="147"/>
      <c r="C4" s="147"/>
      <c r="D4" s="147"/>
      <c r="E4" s="225"/>
      <c r="F4" s="287"/>
      <c r="G4" s="153"/>
      <c r="H4" s="152"/>
      <c r="I4" s="288"/>
      <c r="J4" s="145"/>
      <c r="K4" s="154"/>
      <c r="L4" s="153"/>
      <c r="M4" s="284"/>
      <c r="N4" s="211"/>
      <c r="O4" s="153"/>
      <c r="P4" s="176"/>
      <c r="Q4" s="179"/>
    </row>
    <row r="5" spans="1:17" ht="11.25">
      <c r="A5" s="308"/>
      <c r="B5" s="222" t="s">
        <v>217</v>
      </c>
      <c r="C5" s="53"/>
      <c r="D5" s="53"/>
      <c r="E5" s="224" t="s">
        <v>90</v>
      </c>
      <c r="F5" s="289">
        <v>0.108</v>
      </c>
      <c r="G5" s="306">
        <f>Machinery!R15+Machinery!R4</f>
        <v>7.705444444444445</v>
      </c>
      <c r="H5" s="306">
        <f>F5*G5</f>
        <v>0.832188</v>
      </c>
      <c r="I5" s="317"/>
      <c r="J5" s="107"/>
      <c r="K5" s="99"/>
      <c r="L5" s="108"/>
      <c r="M5" s="285">
        <v>10</v>
      </c>
      <c r="N5" s="54">
        <f>HOAssumptions!G$35</f>
        <v>10</v>
      </c>
      <c r="O5" s="108">
        <f>M5*N5</f>
        <v>100</v>
      </c>
      <c r="P5" s="283">
        <f>$O5+$L5+$H5</f>
        <v>100.832188</v>
      </c>
      <c r="Q5" s="283"/>
    </row>
    <row r="6" spans="1:17" ht="11.25">
      <c r="A6" s="308"/>
      <c r="B6" s="222" t="s">
        <v>311</v>
      </c>
      <c r="C6" s="436"/>
      <c r="D6" s="436"/>
      <c r="E6" s="224" t="s">
        <v>308</v>
      </c>
      <c r="F6" s="289">
        <v>8</v>
      </c>
      <c r="G6" s="306">
        <f>Machinery!R18+Machinery!R19</f>
        <v>8.138666666666667</v>
      </c>
      <c r="H6" s="306">
        <f>F6*G6</f>
        <v>65.10933333333334</v>
      </c>
      <c r="I6" s="317"/>
      <c r="J6" s="107"/>
      <c r="K6" s="99"/>
      <c r="L6" s="108"/>
      <c r="M6" s="285">
        <v>4</v>
      </c>
      <c r="N6" s="433">
        <f>HOAssumptions!G$35</f>
        <v>10</v>
      </c>
      <c r="O6" s="108">
        <f>M6*N6</f>
        <v>40</v>
      </c>
      <c r="P6" s="283">
        <f>$O6+$L6+$H6</f>
        <v>105.10933333333334</v>
      </c>
      <c r="Q6" s="283"/>
    </row>
    <row r="7" spans="1:17" ht="11.25">
      <c r="A7" s="308"/>
      <c r="B7" s="222"/>
      <c r="C7" s="443" t="s">
        <v>309</v>
      </c>
      <c r="D7" s="443"/>
      <c r="E7" s="444" t="s">
        <v>3</v>
      </c>
      <c r="F7" s="439"/>
      <c r="G7" s="439"/>
      <c r="H7" s="445"/>
      <c r="I7" s="440">
        <v>1.02</v>
      </c>
      <c r="J7" s="442" t="s">
        <v>294</v>
      </c>
      <c r="K7" s="441">
        <f>8*4</f>
        <v>32</v>
      </c>
      <c r="L7" s="440">
        <v>8.16</v>
      </c>
      <c r="M7" s="285"/>
      <c r="N7" s="433"/>
      <c r="O7" s="108"/>
      <c r="P7" s="283">
        <f>$O7+$L7+$H7</f>
        <v>8.16</v>
      </c>
      <c r="Q7" s="283"/>
    </row>
    <row r="8" spans="1:17" ht="11.25">
      <c r="A8" s="308"/>
      <c r="B8" s="53" t="s">
        <v>3</v>
      </c>
      <c r="C8" s="443" t="s">
        <v>310</v>
      </c>
      <c r="D8" s="443"/>
      <c r="E8" s="444"/>
      <c r="F8" s="439"/>
      <c r="G8" s="439"/>
      <c r="H8" s="445"/>
      <c r="I8" s="440">
        <v>0.68</v>
      </c>
      <c r="J8" s="442" t="s">
        <v>294</v>
      </c>
      <c r="K8" s="441">
        <f>20*4</f>
        <v>80</v>
      </c>
      <c r="L8" s="440">
        <v>13.600000000000001</v>
      </c>
      <c r="M8" s="285"/>
      <c r="N8" s="433"/>
      <c r="O8" s="108"/>
      <c r="P8" s="283">
        <f>$O8+$L8+$H8</f>
        <v>13.600000000000001</v>
      </c>
      <c r="Q8" s="283"/>
    </row>
    <row r="9" spans="1:17" ht="11.25">
      <c r="A9" s="309" t="s">
        <v>32</v>
      </c>
      <c r="B9" s="181"/>
      <c r="C9" s="181"/>
      <c r="D9" s="181"/>
      <c r="E9" s="237"/>
      <c r="F9" s="206">
        <f>SUM(F5:F8)</f>
        <v>8.108</v>
      </c>
      <c r="G9" s="299"/>
      <c r="H9" s="299">
        <f>SUM(H5:H8)</f>
        <v>65.94152133333334</v>
      </c>
      <c r="I9" s="318"/>
      <c r="J9" s="239"/>
      <c r="K9" s="182"/>
      <c r="L9" s="184">
        <f>SUM(L5:L8)</f>
        <v>21.76</v>
      </c>
      <c r="M9" s="206">
        <f>SUM(M5:M8)</f>
        <v>14</v>
      </c>
      <c r="N9" s="184"/>
      <c r="O9" s="184">
        <f>SUM(O5:O8)</f>
        <v>140</v>
      </c>
      <c r="P9" s="208">
        <f>SUM(P5:P8)</f>
        <v>227.70152133333335</v>
      </c>
      <c r="Q9" s="208">
        <f>P9</f>
        <v>227.70152133333335</v>
      </c>
    </row>
    <row r="10" spans="1:17" ht="11.25">
      <c r="A10" s="307" t="s">
        <v>23</v>
      </c>
      <c r="B10" s="147"/>
      <c r="C10" s="147"/>
      <c r="D10" s="147"/>
      <c r="E10" s="225"/>
      <c r="F10" s="287"/>
      <c r="G10" s="305"/>
      <c r="H10" s="305"/>
      <c r="I10" s="319"/>
      <c r="J10" s="145"/>
      <c r="K10" s="154"/>
      <c r="L10" s="152"/>
      <c r="M10" s="284"/>
      <c r="N10" s="152"/>
      <c r="O10" s="152"/>
      <c r="P10" s="177"/>
      <c r="Q10" s="177"/>
    </row>
    <row r="11" spans="1:17" ht="11.25">
      <c r="A11" s="308"/>
      <c r="B11" s="53" t="s">
        <v>224</v>
      </c>
      <c r="C11" s="53"/>
      <c r="D11" s="52"/>
      <c r="E11" s="224" t="s">
        <v>34</v>
      </c>
      <c r="F11" s="290"/>
      <c r="G11" s="306"/>
      <c r="H11" s="104"/>
      <c r="I11" s="317"/>
      <c r="J11" s="51"/>
      <c r="K11" s="52"/>
      <c r="L11" s="54"/>
      <c r="M11" s="201">
        <v>96</v>
      </c>
      <c r="N11" s="54">
        <f>HOAssumptions!G$35</f>
        <v>10</v>
      </c>
      <c r="O11" s="54">
        <f>$M11*$N11</f>
        <v>960</v>
      </c>
      <c r="P11" s="175">
        <f aca="true" t="shared" si="0" ref="P11:P17">$O11+$L11+$H11</f>
        <v>960</v>
      </c>
      <c r="Q11" s="175"/>
    </row>
    <row r="12" spans="1:17" ht="11.25">
      <c r="A12" s="308"/>
      <c r="B12" s="222" t="s">
        <v>216</v>
      </c>
      <c r="C12" s="99"/>
      <c r="D12" s="224" t="s">
        <v>3</v>
      </c>
      <c r="E12" s="224" t="s">
        <v>71</v>
      </c>
      <c r="F12" s="289">
        <v>1</v>
      </c>
      <c r="G12" s="306">
        <f>Machinery!R5+Machinery!R10</f>
        <v>15.292533333333333</v>
      </c>
      <c r="H12" s="306">
        <f>F12*G12</f>
        <v>15.292533333333333</v>
      </c>
      <c r="I12" s="320"/>
      <c r="J12" s="51"/>
      <c r="K12" s="100"/>
      <c r="L12" s="108"/>
      <c r="M12" s="285">
        <f>F12*1.2</f>
        <v>1.2</v>
      </c>
      <c r="N12" s="54">
        <f>HOAssumptions!G$35</f>
        <v>10</v>
      </c>
      <c r="O12" s="54">
        <f>$M12*$N12</f>
        <v>12</v>
      </c>
      <c r="P12" s="175">
        <f t="shared" si="0"/>
        <v>27.29253333333333</v>
      </c>
      <c r="Q12" s="283"/>
    </row>
    <row r="13" spans="1:17" ht="11.25">
      <c r="A13" s="308"/>
      <c r="B13" s="222" t="s">
        <v>36</v>
      </c>
      <c r="C13" s="99"/>
      <c r="D13" s="224" t="s">
        <v>3</v>
      </c>
      <c r="E13" s="224" t="s">
        <v>147</v>
      </c>
      <c r="F13" s="289">
        <v>16</v>
      </c>
      <c r="G13" s="306">
        <f>Machinery!R18</f>
        <v>7.733333333333334</v>
      </c>
      <c r="H13" s="306">
        <f>F13*G13</f>
        <v>123.73333333333335</v>
      </c>
      <c r="I13" s="320"/>
      <c r="J13" s="51"/>
      <c r="K13" s="100"/>
      <c r="L13" s="108"/>
      <c r="M13" s="285">
        <f>F13/4*0.5</f>
        <v>2</v>
      </c>
      <c r="N13" s="54">
        <f>HOAssumptions!G$35</f>
        <v>10</v>
      </c>
      <c r="O13" s="54">
        <f>$M13*$N13</f>
        <v>20</v>
      </c>
      <c r="P13" s="175">
        <f t="shared" si="0"/>
        <v>143.73333333333335</v>
      </c>
      <c r="Q13" s="283"/>
    </row>
    <row r="14" spans="1:17" ht="11.25">
      <c r="A14" s="308"/>
      <c r="B14" s="222" t="s">
        <v>311</v>
      </c>
      <c r="C14" s="436"/>
      <c r="D14" s="436"/>
      <c r="E14" s="224" t="s">
        <v>308</v>
      </c>
      <c r="F14" s="289">
        <v>8</v>
      </c>
      <c r="G14" s="306">
        <f>Machinery!R18+Machinery!R19</f>
        <v>8.138666666666667</v>
      </c>
      <c r="H14" s="306">
        <f>F14*G14</f>
        <v>65.10933333333334</v>
      </c>
      <c r="I14" s="317"/>
      <c r="J14" s="107"/>
      <c r="K14" s="99"/>
      <c r="L14" s="108"/>
      <c r="M14" s="285">
        <v>4</v>
      </c>
      <c r="N14" s="433">
        <f>HOAssumptions!G$35</f>
        <v>10</v>
      </c>
      <c r="O14" s="108">
        <f>M14*N14</f>
        <v>40</v>
      </c>
      <c r="P14" s="283">
        <f t="shared" si="0"/>
        <v>105.10933333333334</v>
      </c>
      <c r="Q14" s="283"/>
    </row>
    <row r="15" spans="1:17" ht="11.25">
      <c r="A15" s="308"/>
      <c r="B15" s="222"/>
      <c r="C15" s="443" t="s">
        <v>309</v>
      </c>
      <c r="D15" s="443"/>
      <c r="E15" s="444" t="s">
        <v>3</v>
      </c>
      <c r="F15" s="439"/>
      <c r="G15" s="439"/>
      <c r="H15" s="445"/>
      <c r="I15" s="440">
        <v>1.02</v>
      </c>
      <c r="J15" s="442" t="s">
        <v>294</v>
      </c>
      <c r="K15" s="441">
        <f>8*4</f>
        <v>32</v>
      </c>
      <c r="L15" s="440">
        <v>8.16</v>
      </c>
      <c r="M15" s="285"/>
      <c r="N15" s="433"/>
      <c r="O15" s="108"/>
      <c r="P15" s="283">
        <f t="shared" si="0"/>
        <v>8.16</v>
      </c>
      <c r="Q15" s="283"/>
    </row>
    <row r="16" spans="1:17" ht="11.25">
      <c r="A16" s="308"/>
      <c r="B16" s="436" t="s">
        <v>3</v>
      </c>
      <c r="C16" s="443" t="s">
        <v>310</v>
      </c>
      <c r="D16" s="443"/>
      <c r="E16" s="444"/>
      <c r="F16" s="439"/>
      <c r="G16" s="439"/>
      <c r="H16" s="445"/>
      <c r="I16" s="440">
        <v>0.68</v>
      </c>
      <c r="J16" s="442" t="s">
        <v>294</v>
      </c>
      <c r="K16" s="441">
        <f>20*4</f>
        <v>80</v>
      </c>
      <c r="L16" s="440">
        <v>13.600000000000001</v>
      </c>
      <c r="M16" s="285"/>
      <c r="N16" s="433"/>
      <c r="O16" s="108"/>
      <c r="P16" s="283">
        <f t="shared" si="0"/>
        <v>13.600000000000001</v>
      </c>
      <c r="Q16" s="283"/>
    </row>
    <row r="17" spans="1:17" ht="11.25">
      <c r="A17" s="308"/>
      <c r="B17" s="222" t="s">
        <v>46</v>
      </c>
      <c r="C17" s="99"/>
      <c r="D17" s="222"/>
      <c r="E17" s="222"/>
      <c r="F17" s="289"/>
      <c r="G17" s="306"/>
      <c r="H17" s="306"/>
      <c r="I17" s="320">
        <v>75</v>
      </c>
      <c r="J17" s="51" t="s">
        <v>45</v>
      </c>
      <c r="K17" s="105">
        <v>2</v>
      </c>
      <c r="L17" s="54">
        <f>I17*K17</f>
        <v>150</v>
      </c>
      <c r="M17" s="285"/>
      <c r="N17" s="108"/>
      <c r="O17" s="108"/>
      <c r="P17" s="175">
        <f t="shared" si="0"/>
        <v>150</v>
      </c>
      <c r="Q17" s="283"/>
    </row>
    <row r="18" spans="1:17" ht="11.25">
      <c r="A18" s="309" t="s">
        <v>24</v>
      </c>
      <c r="B18" s="181"/>
      <c r="C18" s="181"/>
      <c r="D18" s="181"/>
      <c r="E18" s="237"/>
      <c r="F18" s="214">
        <f>SUM(F11:F17)</f>
        <v>25</v>
      </c>
      <c r="G18" s="299"/>
      <c r="H18" s="299">
        <f>SUM(H11:H$17)</f>
        <v>204.1352</v>
      </c>
      <c r="I18" s="318"/>
      <c r="J18" s="242"/>
      <c r="K18" s="184"/>
      <c r="L18" s="184">
        <f>SUM(L11:L$17)</f>
        <v>171.76</v>
      </c>
      <c r="M18" s="206">
        <f>SUM(M$11:M$17)</f>
        <v>103.2</v>
      </c>
      <c r="N18" s="184"/>
      <c r="O18" s="184">
        <f>SUM(O11:O$17)</f>
        <v>1032</v>
      </c>
      <c r="P18" s="208">
        <f>SUM(P11:P17)</f>
        <v>1407.8952000000002</v>
      </c>
      <c r="Q18" s="208">
        <f>Q9+P18</f>
        <v>1635.5967213333336</v>
      </c>
    </row>
    <row r="19" spans="1:17" ht="11.25">
      <c r="A19" s="307" t="s">
        <v>16</v>
      </c>
      <c r="B19" s="147"/>
      <c r="C19" s="147"/>
      <c r="D19" s="147"/>
      <c r="E19" s="225"/>
      <c r="F19" s="287"/>
      <c r="G19" s="305"/>
      <c r="H19" s="305"/>
      <c r="I19" s="319"/>
      <c r="J19" s="145"/>
      <c r="K19" s="154"/>
      <c r="L19" s="152"/>
      <c r="M19" s="284"/>
      <c r="N19" s="152"/>
      <c r="O19" s="152"/>
      <c r="P19" s="177"/>
      <c r="Q19" s="177"/>
    </row>
    <row r="20" spans="1:17" ht="11.25">
      <c r="A20" s="310"/>
      <c r="B20" s="222" t="s">
        <v>220</v>
      </c>
      <c r="C20" s="99"/>
      <c r="D20" s="99"/>
      <c r="E20" s="224" t="s">
        <v>34</v>
      </c>
      <c r="F20" s="289"/>
      <c r="G20" s="306"/>
      <c r="H20" s="306"/>
      <c r="I20" s="320"/>
      <c r="J20" s="51"/>
      <c r="K20" s="100"/>
      <c r="L20" s="108"/>
      <c r="M20" s="285">
        <v>10</v>
      </c>
      <c r="N20" s="54">
        <f>HOAssumptions!G$35</f>
        <v>10</v>
      </c>
      <c r="O20" s="108">
        <f aca="true" t="shared" si="1" ref="O20:O28">+$N20*$M20</f>
        <v>100</v>
      </c>
      <c r="P20" s="283">
        <f aca="true" t="shared" si="2" ref="P20:P30">$O20+$L20+$H20</f>
        <v>100</v>
      </c>
      <c r="Q20" s="283"/>
    </row>
    <row r="21" spans="1:17" ht="11.25">
      <c r="A21" s="310"/>
      <c r="B21" s="222" t="s">
        <v>216</v>
      </c>
      <c r="C21" s="99"/>
      <c r="D21" s="99"/>
      <c r="E21" s="224" t="s">
        <v>71</v>
      </c>
      <c r="F21" s="289">
        <v>1</v>
      </c>
      <c r="G21" s="306">
        <f>Machinery!R5+Machinery!R10</f>
        <v>15.292533333333333</v>
      </c>
      <c r="H21" s="306">
        <f>F21*G21</f>
        <v>15.292533333333333</v>
      </c>
      <c r="I21" s="320"/>
      <c r="J21" s="51"/>
      <c r="K21" s="100"/>
      <c r="L21" s="108"/>
      <c r="M21" s="285">
        <f>F21*1.2</f>
        <v>1.2</v>
      </c>
      <c r="N21" s="54">
        <f>HOAssumptions!G$35</f>
        <v>10</v>
      </c>
      <c r="O21" s="108">
        <f t="shared" si="1"/>
        <v>12</v>
      </c>
      <c r="P21" s="283">
        <f t="shared" si="2"/>
        <v>27.29253333333333</v>
      </c>
      <c r="Q21" s="283"/>
    </row>
    <row r="22" spans="1:17" ht="11.25">
      <c r="A22" s="310"/>
      <c r="B22" s="222" t="s">
        <v>36</v>
      </c>
      <c r="C22" s="99"/>
      <c r="D22" s="99"/>
      <c r="E22" s="224" t="s">
        <v>147</v>
      </c>
      <c r="F22" s="289">
        <v>16</v>
      </c>
      <c r="G22" s="306">
        <f>Machinery!R18</f>
        <v>7.733333333333334</v>
      </c>
      <c r="H22" s="306">
        <f>F22*G22</f>
        <v>123.73333333333335</v>
      </c>
      <c r="I22" s="320"/>
      <c r="J22" s="51"/>
      <c r="K22" s="100"/>
      <c r="L22" s="108"/>
      <c r="M22" s="285">
        <f>F22/4*0.5</f>
        <v>2</v>
      </c>
      <c r="N22" s="54">
        <f>HOAssumptions!G$35</f>
        <v>10</v>
      </c>
      <c r="O22" s="108">
        <f t="shared" si="1"/>
        <v>20</v>
      </c>
      <c r="P22" s="283">
        <f t="shared" si="2"/>
        <v>143.73333333333335</v>
      </c>
      <c r="Q22" s="283"/>
    </row>
    <row r="23" spans="1:17" ht="11.25">
      <c r="A23" s="310"/>
      <c r="B23" s="222" t="s">
        <v>311</v>
      </c>
      <c r="C23" s="436"/>
      <c r="D23" s="436"/>
      <c r="E23" s="224" t="s">
        <v>308</v>
      </c>
      <c r="F23" s="289">
        <v>8</v>
      </c>
      <c r="G23" s="306">
        <f>Machinery!R18+Machinery!R19</f>
        <v>8.138666666666667</v>
      </c>
      <c r="H23" s="306">
        <f>F23*G23</f>
        <v>65.10933333333334</v>
      </c>
      <c r="I23" s="317"/>
      <c r="J23" s="107"/>
      <c r="K23" s="99"/>
      <c r="L23" s="108"/>
      <c r="M23" s="285">
        <v>4</v>
      </c>
      <c r="N23" s="433">
        <f>HOAssumptions!G$35</f>
        <v>10</v>
      </c>
      <c r="O23" s="108">
        <f>M23*N23</f>
        <v>40</v>
      </c>
      <c r="P23" s="283">
        <f>$O23+$L23+$H23</f>
        <v>105.10933333333334</v>
      </c>
      <c r="Q23" s="283"/>
    </row>
    <row r="24" spans="1:17" ht="11.25">
      <c r="A24" s="310"/>
      <c r="B24" s="222"/>
      <c r="C24" s="443" t="s">
        <v>309</v>
      </c>
      <c r="D24" s="443"/>
      <c r="E24" s="444" t="s">
        <v>3</v>
      </c>
      <c r="F24" s="439"/>
      <c r="G24" s="439"/>
      <c r="H24" s="445"/>
      <c r="I24" s="440">
        <v>1.02</v>
      </c>
      <c r="J24" s="442" t="s">
        <v>294</v>
      </c>
      <c r="K24" s="441">
        <f>8*4</f>
        <v>32</v>
      </c>
      <c r="L24" s="440">
        <v>8.16</v>
      </c>
      <c r="M24" s="285"/>
      <c r="N24" s="433"/>
      <c r="O24" s="108"/>
      <c r="P24" s="283">
        <f>$O24+$L24+$H24</f>
        <v>8.16</v>
      </c>
      <c r="Q24" s="283"/>
    </row>
    <row r="25" spans="1:17" ht="11.25">
      <c r="A25" s="310"/>
      <c r="B25" s="436" t="s">
        <v>3</v>
      </c>
      <c r="C25" s="443" t="s">
        <v>310</v>
      </c>
      <c r="D25" s="443"/>
      <c r="E25" s="444"/>
      <c r="F25" s="439"/>
      <c r="G25" s="439"/>
      <c r="H25" s="445"/>
      <c r="I25" s="440">
        <v>0.68</v>
      </c>
      <c r="J25" s="442" t="s">
        <v>294</v>
      </c>
      <c r="K25" s="441">
        <f>20*4</f>
        <v>80</v>
      </c>
      <c r="L25" s="440">
        <v>13.600000000000001</v>
      </c>
      <c r="M25" s="285"/>
      <c r="N25" s="433"/>
      <c r="O25" s="108"/>
      <c r="P25" s="283">
        <f>$O25+$L25+$H25</f>
        <v>13.600000000000001</v>
      </c>
      <c r="Q25" s="283"/>
    </row>
    <row r="26" spans="1:17" ht="11.25">
      <c r="A26" s="310"/>
      <c r="B26" s="222" t="s">
        <v>280</v>
      </c>
      <c r="C26" s="99"/>
      <c r="D26" s="99"/>
      <c r="E26" s="168" t="s">
        <v>275</v>
      </c>
      <c r="F26" s="289">
        <v>0.5</v>
      </c>
      <c r="G26" s="306">
        <f>Machinery!R5+Machinery!R9</f>
        <v>19.3096</v>
      </c>
      <c r="H26" s="306">
        <f>F26*G26</f>
        <v>9.6548</v>
      </c>
      <c r="I26" s="320">
        <v>33.75</v>
      </c>
      <c r="J26" s="51" t="s">
        <v>277</v>
      </c>
      <c r="K26" s="105">
        <v>4</v>
      </c>
      <c r="L26" s="54">
        <f>I26*K26</f>
        <v>135</v>
      </c>
      <c r="M26" s="285">
        <f>F26*1.2</f>
        <v>0.6</v>
      </c>
      <c r="N26" s="54">
        <f>HOAssumptions!G$35</f>
        <v>10</v>
      </c>
      <c r="O26" s="108">
        <f t="shared" si="1"/>
        <v>6</v>
      </c>
      <c r="P26" s="283">
        <f t="shared" si="2"/>
        <v>150.6548</v>
      </c>
      <c r="Q26" s="283"/>
    </row>
    <row r="27" spans="1:17" ht="11.25">
      <c r="A27" s="310"/>
      <c r="B27" s="222" t="s">
        <v>281</v>
      </c>
      <c r="C27" s="99"/>
      <c r="D27" s="99"/>
      <c r="E27" s="168" t="s">
        <v>275</v>
      </c>
      <c r="F27" s="289">
        <v>0.5</v>
      </c>
      <c r="G27" s="306">
        <f>Machinery!R5+Machinery!R9</f>
        <v>19.3096</v>
      </c>
      <c r="H27" s="306">
        <f>F27*G27</f>
        <v>9.6548</v>
      </c>
      <c r="I27" s="320">
        <v>14.55</v>
      </c>
      <c r="J27" s="51" t="s">
        <v>278</v>
      </c>
      <c r="K27" s="105">
        <v>4</v>
      </c>
      <c r="L27" s="54">
        <f>I27*K27</f>
        <v>58.2</v>
      </c>
      <c r="M27" s="285">
        <f>F27*1.2</f>
        <v>0.6</v>
      </c>
      <c r="N27" s="54">
        <f>HOAssumptions!G$35</f>
        <v>10</v>
      </c>
      <c r="O27" s="108">
        <f t="shared" si="1"/>
        <v>6</v>
      </c>
      <c r="P27" s="283">
        <f t="shared" si="2"/>
        <v>73.8548</v>
      </c>
      <c r="Q27" s="283"/>
    </row>
    <row r="28" spans="1:17" ht="11.25">
      <c r="A28" s="310"/>
      <c r="B28" s="222" t="s">
        <v>282</v>
      </c>
      <c r="C28" s="99"/>
      <c r="D28" s="99"/>
      <c r="E28" s="168" t="s">
        <v>275</v>
      </c>
      <c r="F28" s="289">
        <v>0.5</v>
      </c>
      <c r="G28" s="306">
        <f>Machinery!R5+Machinery!R9</f>
        <v>19.3096</v>
      </c>
      <c r="H28" s="306">
        <f>F28*G28</f>
        <v>9.6548</v>
      </c>
      <c r="I28" s="320">
        <v>24</v>
      </c>
      <c r="J28" s="51" t="s">
        <v>279</v>
      </c>
      <c r="K28" s="105">
        <v>4</v>
      </c>
      <c r="L28" s="54">
        <f>I28*K28</f>
        <v>96</v>
      </c>
      <c r="M28" s="285">
        <f>F28*1.2</f>
        <v>0.6</v>
      </c>
      <c r="N28" s="54">
        <f>HOAssumptions!G$35</f>
        <v>10</v>
      </c>
      <c r="O28" s="108">
        <f t="shared" si="1"/>
        <v>6</v>
      </c>
      <c r="P28" s="283">
        <f t="shared" si="2"/>
        <v>111.6548</v>
      </c>
      <c r="Q28" s="283"/>
    </row>
    <row r="29" spans="1:17" ht="11.25">
      <c r="A29" s="310"/>
      <c r="B29" s="222" t="s">
        <v>219</v>
      </c>
      <c r="C29" s="99"/>
      <c r="D29" s="99"/>
      <c r="E29" s="222" t="s">
        <v>34</v>
      </c>
      <c r="F29" s="289"/>
      <c r="G29" s="306"/>
      <c r="H29" s="306"/>
      <c r="I29" s="320"/>
      <c r="J29" s="51"/>
      <c r="K29" s="99"/>
      <c r="L29" s="108"/>
      <c r="M29" s="285">
        <v>4</v>
      </c>
      <c r="N29" s="54">
        <f>HOAssumptions!G$35</f>
        <v>10</v>
      </c>
      <c r="O29" s="108">
        <f>M29*N29</f>
        <v>40</v>
      </c>
      <c r="P29" s="283">
        <f t="shared" si="2"/>
        <v>40</v>
      </c>
      <c r="Q29" s="283"/>
    </row>
    <row r="30" spans="1:17" ht="11.25">
      <c r="A30" s="308"/>
      <c r="B30" s="53" t="s">
        <v>46</v>
      </c>
      <c r="C30" s="53"/>
      <c r="D30" s="53"/>
      <c r="E30" s="222"/>
      <c r="F30" s="203"/>
      <c r="G30" s="104"/>
      <c r="H30" s="104"/>
      <c r="I30" s="320">
        <v>75</v>
      </c>
      <c r="J30" s="51" t="s">
        <v>45</v>
      </c>
      <c r="K30" s="105">
        <v>2</v>
      </c>
      <c r="L30" s="54">
        <f>I30*K30</f>
        <v>150</v>
      </c>
      <c r="M30" s="201"/>
      <c r="N30" s="54"/>
      <c r="O30" s="54"/>
      <c r="P30" s="175">
        <f t="shared" si="2"/>
        <v>150</v>
      </c>
      <c r="Q30" s="175"/>
    </row>
    <row r="31" spans="1:17" ht="11.25">
      <c r="A31" s="309" t="s">
        <v>17</v>
      </c>
      <c r="B31" s="181"/>
      <c r="C31" s="181"/>
      <c r="D31" s="181"/>
      <c r="E31" s="237"/>
      <c r="F31" s="214">
        <f>SUM(F20:F30)</f>
        <v>26.5</v>
      </c>
      <c r="G31" s="299"/>
      <c r="H31" s="299">
        <f>SUM(H20:H30)</f>
        <v>233.09959999999998</v>
      </c>
      <c r="I31" s="318"/>
      <c r="J31" s="239"/>
      <c r="K31" s="182"/>
      <c r="L31" s="184">
        <f>SUM(L20:L30)</f>
        <v>460.96</v>
      </c>
      <c r="M31" s="206">
        <f>SUM(M20:M30)</f>
        <v>23.000000000000004</v>
      </c>
      <c r="N31" s="184"/>
      <c r="O31" s="184">
        <f>SUM(O20:O30)</f>
        <v>230</v>
      </c>
      <c r="P31" s="208">
        <f>SUM(P20:P30)</f>
        <v>924.0596</v>
      </c>
      <c r="Q31" s="208">
        <f>Q18+P31</f>
        <v>2559.656321333334</v>
      </c>
    </row>
    <row r="32" spans="1:17" ht="11.25">
      <c r="A32" s="307" t="s">
        <v>35</v>
      </c>
      <c r="B32" s="147"/>
      <c r="C32" s="147"/>
      <c r="D32" s="147"/>
      <c r="E32" s="225"/>
      <c r="F32" s="287"/>
      <c r="G32" s="305"/>
      <c r="H32" s="305"/>
      <c r="I32" s="319"/>
      <c r="J32" s="145"/>
      <c r="K32" s="154"/>
      <c r="L32" s="152"/>
      <c r="M32" s="284"/>
      <c r="N32" s="152"/>
      <c r="O32" s="152"/>
      <c r="P32" s="177"/>
      <c r="Q32" s="177"/>
    </row>
    <row r="33" spans="1:17" ht="11.25">
      <c r="A33" s="310"/>
      <c r="B33" s="222" t="s">
        <v>220</v>
      </c>
      <c r="C33" s="99"/>
      <c r="D33" s="99"/>
      <c r="E33" s="224" t="s">
        <v>34</v>
      </c>
      <c r="F33" s="289"/>
      <c r="G33" s="306"/>
      <c r="H33" s="306"/>
      <c r="I33" s="320"/>
      <c r="J33" s="51"/>
      <c r="K33" s="100"/>
      <c r="L33" s="108"/>
      <c r="M33" s="285">
        <v>10</v>
      </c>
      <c r="N33" s="54">
        <f>HOAssumptions!G$35</f>
        <v>10</v>
      </c>
      <c r="O33" s="108">
        <f>+$N33*$M33</f>
        <v>100</v>
      </c>
      <c r="P33" s="283">
        <f aca="true" t="shared" si="3" ref="P33:P42">$O33+$L33+$H33</f>
        <v>100</v>
      </c>
      <c r="Q33" s="283"/>
    </row>
    <row r="34" spans="1:17" ht="11.25">
      <c r="A34" s="310"/>
      <c r="B34" s="222" t="s">
        <v>216</v>
      </c>
      <c r="C34" s="99"/>
      <c r="D34" s="99"/>
      <c r="E34" s="224" t="s">
        <v>71</v>
      </c>
      <c r="F34" s="289">
        <v>1</v>
      </c>
      <c r="G34" s="306">
        <f>Machinery!R5+Machinery!R10</f>
        <v>15.292533333333333</v>
      </c>
      <c r="H34" s="306">
        <f>F34*G34</f>
        <v>15.292533333333333</v>
      </c>
      <c r="I34" s="320"/>
      <c r="J34" s="51"/>
      <c r="K34" s="100"/>
      <c r="L34" s="108"/>
      <c r="M34" s="285">
        <f>F34*1.2</f>
        <v>1.2</v>
      </c>
      <c r="N34" s="54">
        <f>HOAssumptions!G$35</f>
        <v>10</v>
      </c>
      <c r="O34" s="108">
        <f>+$N34*$M34</f>
        <v>12</v>
      </c>
      <c r="P34" s="283">
        <f t="shared" si="3"/>
        <v>27.29253333333333</v>
      </c>
      <c r="Q34" s="283"/>
    </row>
    <row r="35" spans="1:17" ht="11.25">
      <c r="A35" s="310"/>
      <c r="B35" s="222" t="s">
        <v>36</v>
      </c>
      <c r="C35" s="99"/>
      <c r="D35" s="99"/>
      <c r="E35" s="224" t="s">
        <v>147</v>
      </c>
      <c r="F35" s="289">
        <v>16</v>
      </c>
      <c r="G35" s="306">
        <f>Machinery!R18</f>
        <v>7.733333333333334</v>
      </c>
      <c r="H35" s="306">
        <f>F35*G35</f>
        <v>123.73333333333335</v>
      </c>
      <c r="I35" s="320"/>
      <c r="J35" s="51"/>
      <c r="K35" s="100"/>
      <c r="L35" s="108"/>
      <c r="M35" s="285">
        <f>F35/4*0.5</f>
        <v>2</v>
      </c>
      <c r="N35" s="54">
        <f>HOAssumptions!G$35</f>
        <v>10</v>
      </c>
      <c r="O35" s="108">
        <f>+$N35*$M35</f>
        <v>20</v>
      </c>
      <c r="P35" s="283">
        <f t="shared" si="3"/>
        <v>143.73333333333335</v>
      </c>
      <c r="Q35" s="283"/>
    </row>
    <row r="36" spans="1:17" ht="11.25">
      <c r="A36" s="310"/>
      <c r="B36" s="222" t="s">
        <v>311</v>
      </c>
      <c r="C36" s="436"/>
      <c r="D36" s="436"/>
      <c r="E36" s="224" t="s">
        <v>308</v>
      </c>
      <c r="F36" s="289">
        <v>8</v>
      </c>
      <c r="G36" s="306">
        <f>Machinery!R18+Machinery!R19</f>
        <v>8.138666666666667</v>
      </c>
      <c r="H36" s="306">
        <f>F36*G36</f>
        <v>65.10933333333334</v>
      </c>
      <c r="I36" s="317"/>
      <c r="J36" s="107"/>
      <c r="K36" s="99"/>
      <c r="L36" s="108"/>
      <c r="M36" s="285">
        <v>4</v>
      </c>
      <c r="N36" s="433">
        <f>HOAssumptions!G$35</f>
        <v>10</v>
      </c>
      <c r="O36" s="108">
        <f>M36*N36</f>
        <v>40</v>
      </c>
      <c r="P36" s="283">
        <f>$O36+$L36+$H36</f>
        <v>105.10933333333334</v>
      </c>
      <c r="Q36" s="283"/>
    </row>
    <row r="37" spans="1:17" ht="11.25">
      <c r="A37" s="310"/>
      <c r="B37" s="222"/>
      <c r="C37" s="443" t="s">
        <v>309</v>
      </c>
      <c r="D37" s="443"/>
      <c r="E37" s="444" t="s">
        <v>3</v>
      </c>
      <c r="F37" s="439"/>
      <c r="G37" s="439"/>
      <c r="H37" s="445"/>
      <c r="I37" s="440">
        <v>1.02</v>
      </c>
      <c r="J37" s="442" t="s">
        <v>294</v>
      </c>
      <c r="K37" s="441">
        <f>8*4</f>
        <v>32</v>
      </c>
      <c r="L37" s="440">
        <v>8.16</v>
      </c>
      <c r="M37" s="285"/>
      <c r="N37" s="433"/>
      <c r="O37" s="108"/>
      <c r="P37" s="283">
        <f>$O37+$L37+$H37</f>
        <v>8.16</v>
      </c>
      <c r="Q37" s="283"/>
    </row>
    <row r="38" spans="1:17" ht="11.25">
      <c r="A38" s="310"/>
      <c r="B38" s="436" t="s">
        <v>3</v>
      </c>
      <c r="C38" s="443" t="s">
        <v>310</v>
      </c>
      <c r="D38" s="443"/>
      <c r="E38" s="444"/>
      <c r="F38" s="439"/>
      <c r="G38" s="439"/>
      <c r="H38" s="445"/>
      <c r="I38" s="440">
        <v>0.68</v>
      </c>
      <c r="J38" s="442" t="s">
        <v>294</v>
      </c>
      <c r="K38" s="441">
        <f>20*4</f>
        <v>80</v>
      </c>
      <c r="L38" s="440">
        <v>13.600000000000001</v>
      </c>
      <c r="M38" s="285"/>
      <c r="N38" s="433"/>
      <c r="O38" s="108"/>
      <c r="P38" s="283">
        <f>$O38+$L38+$H38</f>
        <v>13.600000000000001</v>
      </c>
      <c r="Q38" s="283"/>
    </row>
    <row r="39" spans="1:17" ht="11.25">
      <c r="A39" s="310"/>
      <c r="B39" s="222" t="s">
        <v>280</v>
      </c>
      <c r="C39" s="99"/>
      <c r="D39" s="99"/>
      <c r="E39" s="168" t="s">
        <v>275</v>
      </c>
      <c r="F39" s="289">
        <v>0.5</v>
      </c>
      <c r="G39" s="306">
        <f>Machinery!R5+Machinery!R9</f>
        <v>19.3096</v>
      </c>
      <c r="H39" s="306">
        <f>F39*G39</f>
        <v>9.6548</v>
      </c>
      <c r="I39" s="320">
        <v>33.75</v>
      </c>
      <c r="J39" s="51" t="s">
        <v>277</v>
      </c>
      <c r="K39" s="105">
        <v>4</v>
      </c>
      <c r="L39" s="54">
        <f>I39*K39</f>
        <v>135</v>
      </c>
      <c r="M39" s="285">
        <f>F39*1.2</f>
        <v>0.6</v>
      </c>
      <c r="N39" s="54">
        <f>HOAssumptions!G$35</f>
        <v>10</v>
      </c>
      <c r="O39" s="108">
        <f>+$N39*$M39</f>
        <v>6</v>
      </c>
      <c r="P39" s="283">
        <f t="shared" si="3"/>
        <v>150.6548</v>
      </c>
      <c r="Q39" s="283"/>
    </row>
    <row r="40" spans="1:17" ht="11.25">
      <c r="A40" s="310"/>
      <c r="B40" s="222" t="s">
        <v>281</v>
      </c>
      <c r="C40" s="99"/>
      <c r="D40" s="99"/>
      <c r="E40" s="168" t="s">
        <v>275</v>
      </c>
      <c r="F40" s="289">
        <v>0.5</v>
      </c>
      <c r="G40" s="306">
        <f>Machinery!R5+Machinery!R9</f>
        <v>19.3096</v>
      </c>
      <c r="H40" s="306">
        <f>F40*G40</f>
        <v>9.6548</v>
      </c>
      <c r="I40" s="320">
        <v>14.55</v>
      </c>
      <c r="J40" s="51" t="s">
        <v>278</v>
      </c>
      <c r="K40" s="105">
        <v>4</v>
      </c>
      <c r="L40" s="54">
        <f>I40*K40</f>
        <v>58.2</v>
      </c>
      <c r="M40" s="285">
        <f>F40*1.2</f>
        <v>0.6</v>
      </c>
      <c r="N40" s="54">
        <f>HOAssumptions!G$35</f>
        <v>10</v>
      </c>
      <c r="O40" s="108">
        <f>+$N40*$M40</f>
        <v>6</v>
      </c>
      <c r="P40" s="283">
        <f t="shared" si="3"/>
        <v>73.8548</v>
      </c>
      <c r="Q40" s="283"/>
    </row>
    <row r="41" spans="1:17" ht="11.25">
      <c r="A41" s="310"/>
      <c r="B41" s="222" t="s">
        <v>219</v>
      </c>
      <c r="C41" s="99"/>
      <c r="D41" s="99"/>
      <c r="E41" s="222" t="s">
        <v>34</v>
      </c>
      <c r="F41" s="289"/>
      <c r="G41" s="306"/>
      <c r="H41" s="306"/>
      <c r="I41" s="320"/>
      <c r="J41" s="51"/>
      <c r="K41" s="99"/>
      <c r="L41" s="108"/>
      <c r="M41" s="285">
        <v>4</v>
      </c>
      <c r="N41" s="54">
        <f>HOAssumptions!G$35</f>
        <v>10</v>
      </c>
      <c r="O41" s="108">
        <f>M41*N41</f>
        <v>40</v>
      </c>
      <c r="P41" s="283">
        <f t="shared" si="3"/>
        <v>40</v>
      </c>
      <c r="Q41" s="283"/>
    </row>
    <row r="42" spans="1:17" ht="11.25">
      <c r="A42" s="308"/>
      <c r="B42" s="53" t="s">
        <v>46</v>
      </c>
      <c r="C42" s="53"/>
      <c r="D42" s="53"/>
      <c r="E42" s="222"/>
      <c r="F42" s="203"/>
      <c r="G42" s="104"/>
      <c r="H42" s="104"/>
      <c r="I42" s="320">
        <v>75</v>
      </c>
      <c r="J42" s="51" t="s">
        <v>45</v>
      </c>
      <c r="K42" s="105">
        <f>K30</f>
        <v>2</v>
      </c>
      <c r="L42" s="54">
        <f>I42*K42</f>
        <v>150</v>
      </c>
      <c r="M42" s="201"/>
      <c r="N42" s="54"/>
      <c r="O42" s="54"/>
      <c r="P42" s="175">
        <f t="shared" si="3"/>
        <v>150</v>
      </c>
      <c r="Q42" s="175"/>
    </row>
    <row r="43" spans="1:17" ht="11.25">
      <c r="A43" s="309" t="s">
        <v>37</v>
      </c>
      <c r="B43" s="181"/>
      <c r="C43" s="181"/>
      <c r="D43" s="181"/>
      <c r="E43" s="237"/>
      <c r="F43" s="214">
        <f>SUM(F33:F42)</f>
        <v>26</v>
      </c>
      <c r="G43" s="299"/>
      <c r="H43" s="299">
        <f>SUM(H33:H42)</f>
        <v>223.4448</v>
      </c>
      <c r="I43" s="318"/>
      <c r="J43" s="239"/>
      <c r="K43" s="182"/>
      <c r="L43" s="184">
        <f>SUM(L33:L42)</f>
        <v>364.96</v>
      </c>
      <c r="M43" s="206">
        <f>SUM(M33:M42)</f>
        <v>22.400000000000002</v>
      </c>
      <c r="N43" s="184"/>
      <c r="O43" s="184">
        <f>SUM(O33:O42)</f>
        <v>224</v>
      </c>
      <c r="P43" s="208">
        <f>SUM(P33:P42)</f>
        <v>812.4048</v>
      </c>
      <c r="Q43" s="208">
        <f>Q31+P43</f>
        <v>3372.061121333334</v>
      </c>
    </row>
    <row r="44" spans="1:17" ht="11.25">
      <c r="A44" s="307" t="s">
        <v>38</v>
      </c>
      <c r="B44" s="147"/>
      <c r="C44" s="147"/>
      <c r="D44" s="147"/>
      <c r="E44" s="225"/>
      <c r="F44" s="287"/>
      <c r="G44" s="305"/>
      <c r="H44" s="305"/>
      <c r="I44" s="319"/>
      <c r="J44" s="145"/>
      <c r="K44" s="154"/>
      <c r="L44" s="152"/>
      <c r="M44" s="284"/>
      <c r="N44" s="152"/>
      <c r="O44" s="152"/>
      <c r="P44" s="177"/>
      <c r="Q44" s="177"/>
    </row>
    <row r="45" spans="1:17" ht="11.25">
      <c r="A45" s="307"/>
      <c r="B45" s="53" t="s">
        <v>47</v>
      </c>
      <c r="C45" s="53"/>
      <c r="D45" s="53"/>
      <c r="E45" s="224" t="s">
        <v>34</v>
      </c>
      <c r="F45" s="290"/>
      <c r="G45" s="104"/>
      <c r="H45" s="104"/>
      <c r="I45" s="317">
        <v>5</v>
      </c>
      <c r="J45" s="51" t="s">
        <v>98</v>
      </c>
      <c r="K45" s="52">
        <v>1</v>
      </c>
      <c r="L45" s="54">
        <f>+K45*I45</f>
        <v>5</v>
      </c>
      <c r="M45" s="201"/>
      <c r="N45" s="54"/>
      <c r="O45" s="54"/>
      <c r="P45" s="175">
        <f>$O45+$L45+$H45</f>
        <v>5</v>
      </c>
      <c r="Q45" s="175"/>
    </row>
    <row r="46" spans="1:17" ht="11.25">
      <c r="A46" s="307"/>
      <c r="B46" s="53" t="s">
        <v>48</v>
      </c>
      <c r="C46" s="53"/>
      <c r="D46" s="53"/>
      <c r="E46" s="224" t="s">
        <v>44</v>
      </c>
      <c r="F46" s="290">
        <v>8</v>
      </c>
      <c r="G46" s="104">
        <f>Machinery!R8</f>
        <v>0.5333333333333333</v>
      </c>
      <c r="H46" s="104">
        <f>F46*G46</f>
        <v>4.266666666666667</v>
      </c>
      <c r="I46" s="317"/>
      <c r="J46" s="51"/>
      <c r="K46" s="52"/>
      <c r="L46" s="54"/>
      <c r="M46" s="201">
        <v>96</v>
      </c>
      <c r="N46" s="54">
        <f>HOAssumptions!G$35</f>
        <v>10</v>
      </c>
      <c r="O46" s="54">
        <f>$N46*$M46</f>
        <v>960</v>
      </c>
      <c r="P46" s="175">
        <f>O46+H46</f>
        <v>964.2666666666667</v>
      </c>
      <c r="Q46" s="175"/>
    </row>
    <row r="47" spans="1:17" ht="11.25">
      <c r="A47" s="310"/>
      <c r="B47" s="222" t="s">
        <v>220</v>
      </c>
      <c r="C47" s="99"/>
      <c r="D47" s="99"/>
      <c r="E47" s="224" t="s">
        <v>34</v>
      </c>
      <c r="F47" s="289"/>
      <c r="G47" s="306"/>
      <c r="H47" s="306"/>
      <c r="I47" s="320"/>
      <c r="J47" s="51"/>
      <c r="K47" s="100"/>
      <c r="L47" s="108"/>
      <c r="M47" s="285">
        <v>10</v>
      </c>
      <c r="N47" s="54">
        <f>HOAssumptions!G$35</f>
        <v>10</v>
      </c>
      <c r="O47" s="108">
        <f>+$N47*$M47</f>
        <v>100</v>
      </c>
      <c r="P47" s="283">
        <f>$O47+$L47+$H47</f>
        <v>100</v>
      </c>
      <c r="Q47" s="283"/>
    </row>
    <row r="48" spans="1:17" ht="11.25">
      <c r="A48" s="310"/>
      <c r="B48" s="222" t="s">
        <v>216</v>
      </c>
      <c r="C48" s="99"/>
      <c r="D48" s="99"/>
      <c r="E48" s="224" t="s">
        <v>71</v>
      </c>
      <c r="F48" s="289">
        <v>1</v>
      </c>
      <c r="G48" s="306">
        <f>Machinery!R5+Machinery!R10</f>
        <v>15.292533333333333</v>
      </c>
      <c r="H48" s="306">
        <f>F48*G48</f>
        <v>15.292533333333333</v>
      </c>
      <c r="I48" s="320"/>
      <c r="J48" s="51"/>
      <c r="K48" s="100"/>
      <c r="L48" s="108"/>
      <c r="M48" s="285">
        <f>F48*1.2</f>
        <v>1.2</v>
      </c>
      <c r="N48" s="54">
        <f>HOAssumptions!G$35</f>
        <v>10</v>
      </c>
      <c r="O48" s="108">
        <f>+$N48*$M48</f>
        <v>12</v>
      </c>
      <c r="P48" s="283">
        <f>$O48+$L48+$H48</f>
        <v>27.29253333333333</v>
      </c>
      <c r="Q48" s="283"/>
    </row>
    <row r="49" spans="1:17" ht="11.25">
      <c r="A49" s="310"/>
      <c r="B49" s="222" t="s">
        <v>36</v>
      </c>
      <c r="C49" s="99"/>
      <c r="D49" s="99"/>
      <c r="E49" s="224" t="s">
        <v>147</v>
      </c>
      <c r="F49" s="289">
        <v>16</v>
      </c>
      <c r="G49" s="306">
        <f>Machinery!R18</f>
        <v>7.733333333333334</v>
      </c>
      <c r="H49" s="306">
        <f>F49*G49</f>
        <v>123.73333333333335</v>
      </c>
      <c r="I49" s="320"/>
      <c r="J49" s="51"/>
      <c r="K49" s="100"/>
      <c r="L49" s="108"/>
      <c r="M49" s="285">
        <f>F49/4*0.5</f>
        <v>2</v>
      </c>
      <c r="N49" s="54">
        <f>HOAssumptions!G$35</f>
        <v>10</v>
      </c>
      <c r="O49" s="108">
        <f>+$N49*$M49</f>
        <v>20</v>
      </c>
      <c r="P49" s="283">
        <f>$O49+$L49+$H49</f>
        <v>143.73333333333335</v>
      </c>
      <c r="Q49" s="283"/>
    </row>
    <row r="50" spans="1:17" ht="11.25">
      <c r="A50" s="309" t="s">
        <v>39</v>
      </c>
      <c r="B50" s="181"/>
      <c r="C50" s="181"/>
      <c r="D50" s="181"/>
      <c r="E50" s="237"/>
      <c r="F50" s="214">
        <f>SUM(F45:F49)</f>
        <v>25</v>
      </c>
      <c r="G50" s="299"/>
      <c r="H50" s="299">
        <f>SUM(H45:H49)</f>
        <v>143.29253333333335</v>
      </c>
      <c r="I50" s="318"/>
      <c r="J50" s="239"/>
      <c r="K50" s="182"/>
      <c r="L50" s="184">
        <f>SUM(L45:L49)</f>
        <v>5</v>
      </c>
      <c r="M50" s="206">
        <f>SUM(M45:M49)</f>
        <v>109.2</v>
      </c>
      <c r="N50" s="184"/>
      <c r="O50" s="207">
        <f>SUM(O45:O49)</f>
        <v>1092</v>
      </c>
      <c r="P50" s="184">
        <f>SUM(P45:P49)</f>
        <v>1240.2925333333333</v>
      </c>
      <c r="Q50" s="208">
        <f>Q43+P50</f>
        <v>4612.353654666667</v>
      </c>
    </row>
    <row r="51" spans="1:17" ht="11.25">
      <c r="A51" s="307" t="s">
        <v>40</v>
      </c>
      <c r="B51" s="147"/>
      <c r="C51" s="147"/>
      <c r="D51" s="147"/>
      <c r="E51" s="225"/>
      <c r="F51" s="287"/>
      <c r="G51" s="305"/>
      <c r="H51" s="305"/>
      <c r="I51" s="319"/>
      <c r="J51" s="145"/>
      <c r="K51" s="154"/>
      <c r="L51" s="152"/>
      <c r="M51" s="284"/>
      <c r="N51" s="152"/>
      <c r="O51" s="152"/>
      <c r="P51" s="177"/>
      <c r="Q51" s="177"/>
    </row>
    <row r="52" spans="1:17" ht="11.25">
      <c r="A52" s="310"/>
      <c r="B52" s="222" t="s">
        <v>220</v>
      </c>
      <c r="C52" s="99"/>
      <c r="D52" s="99"/>
      <c r="E52" s="224" t="s">
        <v>34</v>
      </c>
      <c r="F52" s="289"/>
      <c r="G52" s="306"/>
      <c r="H52" s="306"/>
      <c r="I52" s="320"/>
      <c r="J52" s="51"/>
      <c r="K52" s="100"/>
      <c r="L52" s="108"/>
      <c r="M52" s="285">
        <v>10</v>
      </c>
      <c r="N52" s="54">
        <f>HOAssumptions!G$35</f>
        <v>10</v>
      </c>
      <c r="O52" s="108">
        <f>+$N52*$M52</f>
        <v>100</v>
      </c>
      <c r="P52" s="283">
        <f aca="true" t="shared" si="4" ref="P52:P57">$O52+$L52+$H52</f>
        <v>100</v>
      </c>
      <c r="Q52" s="283"/>
    </row>
    <row r="53" spans="1:17" ht="11.25">
      <c r="A53" s="310"/>
      <c r="B53" s="222" t="s">
        <v>216</v>
      </c>
      <c r="C53" s="99"/>
      <c r="D53" s="99"/>
      <c r="E53" s="224" t="s">
        <v>71</v>
      </c>
      <c r="F53" s="289">
        <v>1</v>
      </c>
      <c r="G53" s="306">
        <f>Machinery!R5+Machinery!R10</f>
        <v>15.292533333333333</v>
      </c>
      <c r="H53" s="306">
        <f>F53*G53</f>
        <v>15.292533333333333</v>
      </c>
      <c r="I53" s="320"/>
      <c r="J53" s="51"/>
      <c r="K53" s="100"/>
      <c r="L53" s="108"/>
      <c r="M53" s="285">
        <f>F53*1.2</f>
        <v>1.2</v>
      </c>
      <c r="N53" s="54">
        <f>HOAssumptions!G$35</f>
        <v>10</v>
      </c>
      <c r="O53" s="108">
        <f>+$N53*$M53</f>
        <v>12</v>
      </c>
      <c r="P53" s="283">
        <f t="shared" si="4"/>
        <v>27.29253333333333</v>
      </c>
      <c r="Q53" s="283"/>
    </row>
    <row r="54" spans="1:17" ht="11.25">
      <c r="A54" s="310"/>
      <c r="B54" s="222" t="s">
        <v>311</v>
      </c>
      <c r="C54" s="436"/>
      <c r="D54" s="436"/>
      <c r="E54" s="224" t="s">
        <v>308</v>
      </c>
      <c r="F54" s="289">
        <v>8</v>
      </c>
      <c r="G54" s="306">
        <f>Machinery!R18+Machinery!R19</f>
        <v>8.138666666666667</v>
      </c>
      <c r="H54" s="306">
        <f>F54*G54</f>
        <v>65.10933333333334</v>
      </c>
      <c r="I54" s="317"/>
      <c r="J54" s="107"/>
      <c r="K54" s="99"/>
      <c r="L54" s="108"/>
      <c r="M54" s="285">
        <v>4</v>
      </c>
      <c r="N54" s="433">
        <f>HOAssumptions!G$35</f>
        <v>10</v>
      </c>
      <c r="O54" s="108">
        <f>M54*N54</f>
        <v>40</v>
      </c>
      <c r="P54" s="283">
        <f t="shared" si="4"/>
        <v>105.10933333333334</v>
      </c>
      <c r="Q54" s="283"/>
    </row>
    <row r="55" spans="1:17" ht="11.25">
      <c r="A55" s="310"/>
      <c r="B55" s="222"/>
      <c r="C55" s="443" t="s">
        <v>309</v>
      </c>
      <c r="D55" s="443"/>
      <c r="E55" s="444" t="s">
        <v>3</v>
      </c>
      <c r="F55" s="439"/>
      <c r="G55" s="439"/>
      <c r="H55" s="445"/>
      <c r="I55" s="440">
        <v>1.02</v>
      </c>
      <c r="J55" s="442" t="s">
        <v>294</v>
      </c>
      <c r="K55" s="441">
        <f>8*4</f>
        <v>32</v>
      </c>
      <c r="L55" s="440">
        <v>8.16</v>
      </c>
      <c r="M55" s="285"/>
      <c r="N55" s="433"/>
      <c r="O55" s="108"/>
      <c r="P55" s="283">
        <f t="shared" si="4"/>
        <v>8.16</v>
      </c>
      <c r="Q55" s="283"/>
    </row>
    <row r="56" spans="1:17" ht="11.25">
      <c r="A56" s="310"/>
      <c r="B56" s="436" t="s">
        <v>3</v>
      </c>
      <c r="C56" s="443" t="s">
        <v>310</v>
      </c>
      <c r="D56" s="443"/>
      <c r="E56" s="444"/>
      <c r="F56" s="439"/>
      <c r="G56" s="439"/>
      <c r="H56" s="445"/>
      <c r="I56" s="440">
        <v>0.68</v>
      </c>
      <c r="J56" s="442" t="s">
        <v>294</v>
      </c>
      <c r="K56" s="441">
        <f>20*4</f>
        <v>80</v>
      </c>
      <c r="L56" s="440">
        <v>13.600000000000001</v>
      </c>
      <c r="M56" s="285"/>
      <c r="N56" s="433"/>
      <c r="O56" s="108"/>
      <c r="P56" s="283">
        <f t="shared" si="4"/>
        <v>13.600000000000001</v>
      </c>
      <c r="Q56" s="283"/>
    </row>
    <row r="57" spans="1:17" ht="11.25">
      <c r="A57" s="310"/>
      <c r="B57" s="222" t="s">
        <v>36</v>
      </c>
      <c r="C57" s="99"/>
      <c r="D57" s="99"/>
      <c r="E57" s="224" t="s">
        <v>147</v>
      </c>
      <c r="F57" s="289">
        <v>16</v>
      </c>
      <c r="G57" s="306">
        <f>Machinery!R18</f>
        <v>7.733333333333334</v>
      </c>
      <c r="H57" s="306">
        <f>F57*G57</f>
        <v>123.73333333333335</v>
      </c>
      <c r="I57" s="320"/>
      <c r="J57" s="51"/>
      <c r="K57" s="100"/>
      <c r="L57" s="108"/>
      <c r="M57" s="285">
        <f>F57/4*0.5</f>
        <v>2</v>
      </c>
      <c r="N57" s="54">
        <f>HOAssumptions!G$35</f>
        <v>10</v>
      </c>
      <c r="O57" s="108">
        <f>+$N57*$M57</f>
        <v>20</v>
      </c>
      <c r="P57" s="283">
        <f t="shared" si="4"/>
        <v>143.73333333333335</v>
      </c>
      <c r="Q57" s="283"/>
    </row>
    <row r="58" spans="1:17" ht="11.25">
      <c r="A58" s="309" t="s">
        <v>41</v>
      </c>
      <c r="B58" s="181"/>
      <c r="C58" s="181"/>
      <c r="D58" s="181"/>
      <c r="E58" s="237"/>
      <c r="F58" s="214">
        <f>SUM(F52:F57)</f>
        <v>25</v>
      </c>
      <c r="G58" s="299"/>
      <c r="H58" s="299">
        <f>SUM(H52:H57)</f>
        <v>204.13520000000003</v>
      </c>
      <c r="I58" s="318"/>
      <c r="J58" s="239"/>
      <c r="K58" s="182"/>
      <c r="L58" s="184">
        <f>SUM(L52:L57)</f>
        <v>21.76</v>
      </c>
      <c r="M58" s="206">
        <f>SUM(M52:M57)</f>
        <v>17.2</v>
      </c>
      <c r="N58" s="184"/>
      <c r="O58" s="184">
        <f>SUM(O52:O57)</f>
        <v>172</v>
      </c>
      <c r="P58" s="208">
        <f>SUM(P52:P57)</f>
        <v>397.8952</v>
      </c>
      <c r="Q58" s="208">
        <f>Q50+P58</f>
        <v>5010.248854666667</v>
      </c>
    </row>
    <row r="59" spans="1:17" ht="11.25">
      <c r="A59" s="311" t="s">
        <v>42</v>
      </c>
      <c r="B59" s="219"/>
      <c r="C59" s="219"/>
      <c r="D59" s="219"/>
      <c r="E59" s="225"/>
      <c r="F59" s="254"/>
      <c r="G59" s="223"/>
      <c r="H59" s="223"/>
      <c r="I59" s="321"/>
      <c r="J59" s="145"/>
      <c r="K59" s="220"/>
      <c r="L59" s="221"/>
      <c r="M59" s="286"/>
      <c r="N59" s="221"/>
      <c r="O59" s="221"/>
      <c r="P59" s="255"/>
      <c r="Q59" s="255" t="s">
        <v>3</v>
      </c>
    </row>
    <row r="60" spans="1:17" ht="11.25">
      <c r="A60" s="310"/>
      <c r="B60" s="222" t="s">
        <v>216</v>
      </c>
      <c r="C60" s="99"/>
      <c r="D60" s="99"/>
      <c r="E60" s="224" t="s">
        <v>71</v>
      </c>
      <c r="F60" s="289">
        <v>1</v>
      </c>
      <c r="G60" s="306">
        <f>Machinery!R5+Machinery!R10</f>
        <v>15.292533333333333</v>
      </c>
      <c r="H60" s="306">
        <f>F60*G60</f>
        <v>15.292533333333333</v>
      </c>
      <c r="I60" s="320"/>
      <c r="J60" s="51"/>
      <c r="K60" s="100"/>
      <c r="L60" s="108"/>
      <c r="M60" s="285">
        <f>F60*1.2</f>
        <v>1.2</v>
      </c>
      <c r="N60" s="54">
        <f>HOAssumptions!G$35</f>
        <v>10</v>
      </c>
      <c r="O60" s="108">
        <f>+$N60*$M60</f>
        <v>12</v>
      </c>
      <c r="P60" s="283">
        <f>$O60+$L60+$H60</f>
        <v>27.29253333333333</v>
      </c>
      <c r="Q60" s="283"/>
    </row>
    <row r="61" spans="1:17" ht="11.25">
      <c r="A61" s="310"/>
      <c r="B61" s="222" t="s">
        <v>36</v>
      </c>
      <c r="C61" s="99"/>
      <c r="D61" s="99"/>
      <c r="E61" s="224" t="s">
        <v>147</v>
      </c>
      <c r="F61" s="289">
        <v>16</v>
      </c>
      <c r="G61" s="306">
        <f>Machinery!R18</f>
        <v>7.733333333333334</v>
      </c>
      <c r="H61" s="306">
        <f>F61*G61</f>
        <v>123.73333333333335</v>
      </c>
      <c r="I61" s="320"/>
      <c r="J61" s="51"/>
      <c r="K61" s="100"/>
      <c r="L61" s="108"/>
      <c r="M61" s="285">
        <f>F61/4*0.5</f>
        <v>2</v>
      </c>
      <c r="N61" s="54">
        <f>HOAssumptions!G$35</f>
        <v>10</v>
      </c>
      <c r="O61" s="108">
        <f>+$N61*$M61</f>
        <v>20</v>
      </c>
      <c r="P61" s="283">
        <f>$O61+$L61+$H61</f>
        <v>143.73333333333335</v>
      </c>
      <c r="Q61" s="283"/>
    </row>
    <row r="62" spans="1:17" ht="11.25">
      <c r="A62" s="309" t="s">
        <v>43</v>
      </c>
      <c r="B62" s="236"/>
      <c r="C62" s="236"/>
      <c r="D62" s="236"/>
      <c r="E62" s="237"/>
      <c r="F62" s="313">
        <f>SUM(F60:F61)</f>
        <v>17</v>
      </c>
      <c r="G62" s="245"/>
      <c r="H62" s="245">
        <f>SUM(H60:H61)</f>
        <v>139.02586666666667</v>
      </c>
      <c r="I62" s="322"/>
      <c r="J62" s="239"/>
      <c r="K62" s="238"/>
      <c r="L62" s="241">
        <f>SUM(L60:L61)</f>
        <v>0</v>
      </c>
      <c r="M62" s="313">
        <f>SUM(M60:M61)</f>
        <v>3.2</v>
      </c>
      <c r="N62" s="241"/>
      <c r="O62" s="241">
        <f>SUM(O60:O61)</f>
        <v>32</v>
      </c>
      <c r="P62" s="215">
        <f>SUM(P60:P61)</f>
        <v>171.02586666666667</v>
      </c>
      <c r="Q62" s="215">
        <f>Q58+P62</f>
        <v>5181.274721333334</v>
      </c>
    </row>
    <row r="63" spans="1:17" ht="11.25">
      <c r="A63" s="230" t="s">
        <v>15</v>
      </c>
      <c r="B63" s="219"/>
      <c r="C63" s="219"/>
      <c r="D63" s="219"/>
      <c r="E63" s="225"/>
      <c r="F63" s="254"/>
      <c r="G63" s="223"/>
      <c r="H63" s="223"/>
      <c r="I63" s="321"/>
      <c r="J63" s="145"/>
      <c r="K63" s="220"/>
      <c r="L63" s="221"/>
      <c r="M63" s="286"/>
      <c r="N63" s="221"/>
      <c r="O63" s="221"/>
      <c r="P63" s="255"/>
      <c r="Q63" s="255" t="s">
        <v>3</v>
      </c>
    </row>
    <row r="64" spans="1:17" ht="11.25">
      <c r="A64" s="310"/>
      <c r="B64" s="222" t="s">
        <v>221</v>
      </c>
      <c r="C64" s="99"/>
      <c r="D64" s="99"/>
      <c r="E64" s="224" t="s">
        <v>29</v>
      </c>
      <c r="F64" s="289"/>
      <c r="G64" s="306"/>
      <c r="H64" s="306"/>
      <c r="I64" s="320"/>
      <c r="J64" s="51"/>
      <c r="K64" s="100"/>
      <c r="L64" s="108"/>
      <c r="M64" s="285">
        <v>26</v>
      </c>
      <c r="N64" s="54">
        <f>HOAssumptions!G$35</f>
        <v>10</v>
      </c>
      <c r="O64" s="108">
        <f>$M64*$N64</f>
        <v>260</v>
      </c>
      <c r="P64" s="283">
        <f>$O64+$L64+$H64</f>
        <v>260</v>
      </c>
      <c r="Q64" s="283"/>
    </row>
    <row r="65" spans="1:17" ht="11.25">
      <c r="A65" s="310"/>
      <c r="B65" s="222" t="s">
        <v>216</v>
      </c>
      <c r="C65" s="99"/>
      <c r="D65" s="99"/>
      <c r="E65" s="224" t="s">
        <v>71</v>
      </c>
      <c r="F65" s="289">
        <v>1</v>
      </c>
      <c r="G65" s="306">
        <f>Machinery!R5+Machinery!R10</f>
        <v>15.292533333333333</v>
      </c>
      <c r="H65" s="306">
        <f>F65*G65</f>
        <v>15.292533333333333</v>
      </c>
      <c r="I65" s="320"/>
      <c r="J65" s="51"/>
      <c r="K65" s="100"/>
      <c r="L65" s="108"/>
      <c r="M65" s="285">
        <f>F65*1.2</f>
        <v>1.2</v>
      </c>
      <c r="N65" s="54">
        <f>HOAssumptions!G$35</f>
        <v>10</v>
      </c>
      <c r="O65" s="108">
        <f>+$N65*$M65</f>
        <v>12</v>
      </c>
      <c r="P65" s="283">
        <f>$O65+$L65+$H65</f>
        <v>27.29253333333333</v>
      </c>
      <c r="Q65" s="283"/>
    </row>
    <row r="66" spans="1:17" ht="11.25">
      <c r="A66" s="310"/>
      <c r="B66" s="222" t="s">
        <v>36</v>
      </c>
      <c r="C66" s="99"/>
      <c r="D66" s="99"/>
      <c r="E66" s="224" t="s">
        <v>147</v>
      </c>
      <c r="F66" s="289">
        <v>16</v>
      </c>
      <c r="G66" s="306">
        <f>Machinery!R18</f>
        <v>7.733333333333334</v>
      </c>
      <c r="H66" s="306">
        <f>F66*G66</f>
        <v>123.73333333333335</v>
      </c>
      <c r="I66" s="320"/>
      <c r="J66" s="51"/>
      <c r="K66" s="100"/>
      <c r="L66" s="108"/>
      <c r="M66" s="285">
        <f>F66/4*0.5</f>
        <v>2</v>
      </c>
      <c r="N66" s="54">
        <f>HOAssumptions!G$35</f>
        <v>10</v>
      </c>
      <c r="O66" s="108">
        <f>+$N66*$M66</f>
        <v>20</v>
      </c>
      <c r="P66" s="283">
        <f>$O66+$L66+$H66</f>
        <v>143.73333333333335</v>
      </c>
      <c r="Q66" s="283"/>
    </row>
    <row r="67" spans="1:17" ht="11.25">
      <c r="A67" s="309" t="s">
        <v>153</v>
      </c>
      <c r="B67" s="236"/>
      <c r="C67" s="236"/>
      <c r="D67" s="236"/>
      <c r="E67" s="237"/>
      <c r="F67" s="313">
        <f>SUM(F64:F66)</f>
        <v>17</v>
      </c>
      <c r="G67" s="245"/>
      <c r="H67" s="245">
        <f>SUM(H64:H66)</f>
        <v>139.02586666666667</v>
      </c>
      <c r="I67" s="322"/>
      <c r="J67" s="244"/>
      <c r="K67" s="243"/>
      <c r="L67" s="241">
        <f>SUM(L64:L66)</f>
        <v>0</v>
      </c>
      <c r="M67" s="313">
        <f>SUM(M64:M66)</f>
        <v>29.2</v>
      </c>
      <c r="N67" s="241"/>
      <c r="O67" s="241">
        <f>SUM(O64:O66)</f>
        <v>292</v>
      </c>
      <c r="P67" s="215">
        <f>SUM(P64:P66)</f>
        <v>431.0258666666667</v>
      </c>
      <c r="Q67" s="215">
        <f>Q62+P67</f>
        <v>5612.300588000001</v>
      </c>
    </row>
    <row r="68" spans="1:17" ht="11.25">
      <c r="A68" s="307" t="s">
        <v>0</v>
      </c>
      <c r="B68" s="147"/>
      <c r="C68" s="147"/>
      <c r="D68" s="147"/>
      <c r="E68" s="225"/>
      <c r="F68" s="287"/>
      <c r="G68" s="305"/>
      <c r="H68" s="305"/>
      <c r="I68" s="319"/>
      <c r="J68" s="145"/>
      <c r="K68" s="154"/>
      <c r="L68" s="152"/>
      <c r="M68" s="284"/>
      <c r="N68" s="152"/>
      <c r="O68" s="152"/>
      <c r="P68" s="177"/>
      <c r="Q68" s="177" t="s">
        <v>3</v>
      </c>
    </row>
    <row r="69" spans="1:17" ht="11.25">
      <c r="A69" s="310"/>
      <c r="B69" s="222" t="s">
        <v>221</v>
      </c>
      <c r="C69" s="99"/>
      <c r="D69" s="99"/>
      <c r="E69" s="224" t="s">
        <v>29</v>
      </c>
      <c r="F69" s="289"/>
      <c r="G69" s="306"/>
      <c r="H69" s="306"/>
      <c r="I69" s="320"/>
      <c r="J69" s="51"/>
      <c r="K69" s="100"/>
      <c r="L69" s="108"/>
      <c r="M69" s="285">
        <v>26</v>
      </c>
      <c r="N69" s="54">
        <f>HOAssumptions!G$35</f>
        <v>10</v>
      </c>
      <c r="O69" s="108">
        <f>$M69*$N69</f>
        <v>260</v>
      </c>
      <c r="P69" s="283">
        <f>$O69+$L69+$H69</f>
        <v>260</v>
      </c>
      <c r="Q69" s="283"/>
    </row>
    <row r="70" spans="1:17" ht="11.25">
      <c r="A70" s="307"/>
      <c r="B70" s="222" t="s">
        <v>282</v>
      </c>
      <c r="C70" s="99"/>
      <c r="D70" s="99"/>
      <c r="E70" s="168" t="s">
        <v>275</v>
      </c>
      <c r="F70" s="289">
        <v>0.5</v>
      </c>
      <c r="G70" s="306">
        <f>Machinery!R5+Machinery!R9</f>
        <v>19.3096</v>
      </c>
      <c r="H70" s="306">
        <f>F70*G70</f>
        <v>9.6548</v>
      </c>
      <c r="I70" s="320">
        <v>24</v>
      </c>
      <c r="J70" s="51" t="s">
        <v>279</v>
      </c>
      <c r="K70" s="105">
        <v>4</v>
      </c>
      <c r="L70" s="54">
        <f>I70*K70</f>
        <v>96</v>
      </c>
      <c r="M70" s="285">
        <f>F70*1.2</f>
        <v>0.6</v>
      </c>
      <c r="N70" s="54">
        <f>HOAssumptions!G$35</f>
        <v>10</v>
      </c>
      <c r="O70" s="108">
        <f>+$N70*$M70</f>
        <v>6</v>
      </c>
      <c r="P70" s="283">
        <f>$O70+$L70+$H70</f>
        <v>111.6548</v>
      </c>
      <c r="Q70" s="177"/>
    </row>
    <row r="71" spans="1:17" ht="11.25">
      <c r="A71" s="307"/>
      <c r="B71" s="53" t="s">
        <v>49</v>
      </c>
      <c r="C71" s="53"/>
      <c r="D71" s="53"/>
      <c r="E71" s="224" t="s">
        <v>34</v>
      </c>
      <c r="F71" s="290"/>
      <c r="G71" s="104"/>
      <c r="H71" s="104"/>
      <c r="I71" s="317"/>
      <c r="J71" s="51"/>
      <c r="K71" s="52"/>
      <c r="L71" s="54"/>
      <c r="M71" s="201">
        <v>20</v>
      </c>
      <c r="N71" s="54">
        <f>HOAssumptions!G$35</f>
        <v>10</v>
      </c>
      <c r="O71" s="54">
        <f>M71*N71</f>
        <v>200</v>
      </c>
      <c r="P71" s="175">
        <f>O71</f>
        <v>200</v>
      </c>
      <c r="Q71" s="175"/>
    </row>
    <row r="72" spans="1:17" ht="11.25">
      <c r="A72" s="309" t="s">
        <v>1</v>
      </c>
      <c r="B72" s="181"/>
      <c r="C72" s="181"/>
      <c r="D72" s="181"/>
      <c r="E72" s="237"/>
      <c r="F72" s="313">
        <f>SUM(F69:F71)</f>
        <v>0.5</v>
      </c>
      <c r="G72" s="245"/>
      <c r="H72" s="245">
        <f>SUM(H69:H71)</f>
        <v>9.6548</v>
      </c>
      <c r="I72" s="318"/>
      <c r="J72" s="239"/>
      <c r="K72" s="182"/>
      <c r="L72" s="184">
        <f>SUM(L69:L71)</f>
        <v>96</v>
      </c>
      <c r="M72" s="206">
        <f>SUM(M69:M71)</f>
        <v>46.6</v>
      </c>
      <c r="N72" s="184"/>
      <c r="O72" s="184">
        <f>SUM(O69:O71)</f>
        <v>466</v>
      </c>
      <c r="P72" s="208">
        <f>SUM(P69:P71)</f>
        <v>571.6548</v>
      </c>
      <c r="Q72" s="208">
        <f>Q67+P72</f>
        <v>6183.955388000001</v>
      </c>
    </row>
    <row r="73" spans="1:17" ht="11.25">
      <c r="A73" s="307" t="s">
        <v>233</v>
      </c>
      <c r="B73" s="99"/>
      <c r="C73" s="99"/>
      <c r="D73" s="99"/>
      <c r="E73" s="249"/>
      <c r="F73" s="220"/>
      <c r="G73" s="223"/>
      <c r="H73" s="223"/>
      <c r="I73" s="321"/>
      <c r="J73" s="226"/>
      <c r="K73" s="220"/>
      <c r="L73" s="253"/>
      <c r="M73" s="220"/>
      <c r="N73" s="221"/>
      <c r="O73" s="221"/>
      <c r="P73" s="255"/>
      <c r="Q73" s="255"/>
    </row>
    <row r="74" spans="1:17" ht="11.25">
      <c r="A74" s="307"/>
      <c r="B74" s="222" t="s">
        <v>226</v>
      </c>
      <c r="C74" s="99"/>
      <c r="D74" s="99"/>
      <c r="E74" s="249"/>
      <c r="F74" s="220"/>
      <c r="G74" s="223"/>
      <c r="H74" s="223"/>
      <c r="I74" s="317">
        <v>2.2</v>
      </c>
      <c r="J74" s="315" t="s">
        <v>227</v>
      </c>
      <c r="K74" s="100">
        <f>Yields!D11</f>
        <v>1422.2222222222224</v>
      </c>
      <c r="L74" s="202">
        <f>I74*K74</f>
        <v>3128.8888888888896</v>
      </c>
      <c r="M74" s="316">
        <f>K74</f>
        <v>1422.2222222222224</v>
      </c>
      <c r="N74" s="108">
        <f>HOAssumptions!G$38</f>
        <v>3.5</v>
      </c>
      <c r="O74" s="54">
        <f aca="true" t="shared" si="5" ref="O74:O80">+$N74*$M74</f>
        <v>4977.777777777778</v>
      </c>
      <c r="P74" s="175">
        <f aca="true" t="shared" si="6" ref="P74:P80">$O74+$L74+$H74</f>
        <v>8106.666666666668</v>
      </c>
      <c r="Q74" s="255"/>
    </row>
    <row r="75" spans="1:17" ht="11.25">
      <c r="A75" s="307"/>
      <c r="B75" s="222" t="s">
        <v>228</v>
      </c>
      <c r="C75" s="99"/>
      <c r="D75" s="99"/>
      <c r="E75" s="249"/>
      <c r="F75" s="220"/>
      <c r="G75" s="223"/>
      <c r="H75" s="223"/>
      <c r="I75" s="317">
        <v>1</v>
      </c>
      <c r="J75" s="315" t="s">
        <v>229</v>
      </c>
      <c r="K75" s="100">
        <v>150</v>
      </c>
      <c r="L75" s="202">
        <f>I75*K75</f>
        <v>150</v>
      </c>
      <c r="M75" s="100">
        <v>60</v>
      </c>
      <c r="N75" s="54">
        <f>HOAssumptions!G$35</f>
        <v>10</v>
      </c>
      <c r="O75" s="54">
        <f t="shared" si="5"/>
        <v>600</v>
      </c>
      <c r="P75" s="175">
        <f t="shared" si="6"/>
        <v>750</v>
      </c>
      <c r="Q75" s="255"/>
    </row>
    <row r="76" spans="1:17" ht="11.25">
      <c r="A76" s="307"/>
      <c r="B76" s="222" t="s">
        <v>230</v>
      </c>
      <c r="C76" s="99"/>
      <c r="D76" s="99"/>
      <c r="E76" s="249"/>
      <c r="F76" s="220"/>
      <c r="G76" s="223"/>
      <c r="H76" s="223"/>
      <c r="I76" s="321"/>
      <c r="J76" s="226"/>
      <c r="K76" s="220"/>
      <c r="L76" s="253"/>
      <c r="M76" s="316">
        <f>K74</f>
        <v>1422.2222222222224</v>
      </c>
      <c r="N76" s="108">
        <f>HOAssumptions!G$39</f>
        <v>0.5</v>
      </c>
      <c r="O76" s="54">
        <f t="shared" si="5"/>
        <v>711.1111111111112</v>
      </c>
      <c r="P76" s="175">
        <f t="shared" si="6"/>
        <v>711.1111111111112</v>
      </c>
      <c r="Q76" s="255"/>
    </row>
    <row r="77" spans="1:17" ht="11.25">
      <c r="A77" s="307"/>
      <c r="B77" s="222" t="s">
        <v>266</v>
      </c>
      <c r="C77" s="99"/>
      <c r="D77" s="99"/>
      <c r="E77" s="249"/>
      <c r="I77" s="321"/>
      <c r="J77" s="226"/>
      <c r="K77" s="220"/>
      <c r="L77" s="253"/>
      <c r="M77" s="316">
        <f>K74</f>
        <v>1422.2222222222224</v>
      </c>
      <c r="N77" s="108">
        <f>HOAssumptions!G$40</f>
        <v>0.25</v>
      </c>
      <c r="O77" s="54">
        <f t="shared" si="5"/>
        <v>355.5555555555556</v>
      </c>
      <c r="P77" s="175">
        <f t="shared" si="6"/>
        <v>355.5555555555556</v>
      </c>
      <c r="Q77" s="255"/>
    </row>
    <row r="78" spans="1:17" ht="11.25">
      <c r="A78" s="307"/>
      <c r="B78" s="222" t="s">
        <v>265</v>
      </c>
      <c r="C78" s="99"/>
      <c r="D78" s="99"/>
      <c r="E78" s="249" t="s">
        <v>267</v>
      </c>
      <c r="F78" s="100">
        <v>200</v>
      </c>
      <c r="G78" s="306">
        <f>Machinery!R17</f>
        <v>5.816071428571428</v>
      </c>
      <c r="H78" s="306">
        <f>F78*G78</f>
        <v>1163.2142857142856</v>
      </c>
      <c r="I78" s="321"/>
      <c r="J78" s="226"/>
      <c r="K78" s="220"/>
      <c r="L78" s="253"/>
      <c r="P78" s="175">
        <f t="shared" si="6"/>
        <v>1163.2142857142856</v>
      </c>
      <c r="Q78" s="255"/>
    </row>
    <row r="79" spans="1:17" ht="11.25">
      <c r="A79" s="307"/>
      <c r="B79" s="222" t="s">
        <v>269</v>
      </c>
      <c r="C79" s="99"/>
      <c r="D79" s="99"/>
      <c r="E79" s="249" t="s">
        <v>231</v>
      </c>
      <c r="F79" s="100">
        <v>18</v>
      </c>
      <c r="G79" s="306">
        <f>Machinery!R20</f>
        <v>12.212962962962964</v>
      </c>
      <c r="H79" s="306">
        <f>F79*G79</f>
        <v>219.83333333333334</v>
      </c>
      <c r="I79" s="321"/>
      <c r="J79" s="226"/>
      <c r="K79" s="220"/>
      <c r="L79" s="253"/>
      <c r="M79" s="100">
        <v>36</v>
      </c>
      <c r="N79" s="54">
        <f>HOAssumptions!G$35</f>
        <v>10</v>
      </c>
      <c r="O79" s="54">
        <f t="shared" si="5"/>
        <v>360</v>
      </c>
      <c r="P79" s="175">
        <f t="shared" si="6"/>
        <v>579.8333333333334</v>
      </c>
      <c r="Q79" s="255"/>
    </row>
    <row r="80" spans="1:17" ht="11.25">
      <c r="A80" s="307"/>
      <c r="B80" s="222" t="s">
        <v>268</v>
      </c>
      <c r="C80" s="99"/>
      <c r="D80" s="99"/>
      <c r="E80" s="249" t="s">
        <v>237</v>
      </c>
      <c r="F80" s="100">
        <v>54</v>
      </c>
      <c r="G80" s="306">
        <f>Machinery!R21</f>
        <v>15.238333333333333</v>
      </c>
      <c r="H80" s="306">
        <f>F80*G80</f>
        <v>822.87</v>
      </c>
      <c r="I80" s="321"/>
      <c r="J80" s="226"/>
      <c r="K80" s="220"/>
      <c r="L80" s="253"/>
      <c r="M80" s="100">
        <v>54</v>
      </c>
      <c r="N80" s="54">
        <f>HOAssumptions!G$35</f>
        <v>10</v>
      </c>
      <c r="O80" s="54">
        <f t="shared" si="5"/>
        <v>540</v>
      </c>
      <c r="P80" s="175">
        <f t="shared" si="6"/>
        <v>1362.87</v>
      </c>
      <c r="Q80" s="255"/>
    </row>
    <row r="81" spans="1:17" ht="11.25">
      <c r="A81" s="309" t="s">
        <v>232</v>
      </c>
      <c r="B81" s="236"/>
      <c r="C81" s="236"/>
      <c r="D81" s="236"/>
      <c r="E81" s="250"/>
      <c r="F81" s="240">
        <f>SUM(F74:F80)</f>
        <v>272</v>
      </c>
      <c r="G81" s="245"/>
      <c r="H81" s="245">
        <f>SUM(H74:H80)</f>
        <v>2205.9176190476187</v>
      </c>
      <c r="I81" s="322"/>
      <c r="J81" s="244"/>
      <c r="K81" s="240"/>
      <c r="L81" s="241">
        <f>SUM(L74:L80)</f>
        <v>3278.8888888888896</v>
      </c>
      <c r="M81" s="323">
        <f>M75+M79+M80+M74/4*3</f>
        <v>1216.6666666666667</v>
      </c>
      <c r="N81" s="241"/>
      <c r="O81" s="241">
        <f>SUM(O74:O80)</f>
        <v>7544.444444444445</v>
      </c>
      <c r="P81" s="215">
        <f>SUM(P74:P80)</f>
        <v>13029.250952380953</v>
      </c>
      <c r="Q81" s="215">
        <f>Q72+P81</f>
        <v>19213.206340380955</v>
      </c>
    </row>
    <row r="82" spans="1:23" ht="11.25">
      <c r="A82" s="200" t="s">
        <v>196</v>
      </c>
      <c r="B82" s="53"/>
      <c r="C82" s="53"/>
      <c r="D82" s="53"/>
      <c r="E82" s="52"/>
      <c r="F82" s="201"/>
      <c r="G82" s="54"/>
      <c r="H82" s="54"/>
      <c r="I82" s="263"/>
      <c r="J82" s="291"/>
      <c r="K82" s="52"/>
      <c r="L82" s="202"/>
      <c r="M82" s="52"/>
      <c r="N82" s="54"/>
      <c r="O82" s="54"/>
      <c r="P82" s="175"/>
      <c r="Q82" s="177" t="s">
        <v>3</v>
      </c>
      <c r="S82" s="186"/>
      <c r="T82" s="188"/>
      <c r="U82" s="188"/>
      <c r="V82" s="192"/>
      <c r="W82" s="187"/>
    </row>
    <row r="83" spans="1:23" ht="11.25">
      <c r="A83" s="203"/>
      <c r="B83" s="52" t="s">
        <v>198</v>
      </c>
      <c r="C83" s="53"/>
      <c r="D83" s="53"/>
      <c r="E83" s="52"/>
      <c r="F83" s="201"/>
      <c r="G83" s="54"/>
      <c r="H83" s="54"/>
      <c r="I83" s="263">
        <f>HOAssumptions!G55</f>
        <v>100</v>
      </c>
      <c r="J83" s="291" t="s">
        <v>98</v>
      </c>
      <c r="K83" s="52">
        <v>1</v>
      </c>
      <c r="L83" s="202">
        <f aca="true" t="shared" si="7" ref="L83:L88">$I83*K83</f>
        <v>100</v>
      </c>
      <c r="M83" s="52"/>
      <c r="N83" s="54"/>
      <c r="O83" s="54"/>
      <c r="P83" s="175">
        <f aca="true" t="shared" si="8" ref="P83:P89">$L83+$H83+$O83</f>
        <v>100</v>
      </c>
      <c r="Q83" s="175"/>
      <c r="S83" s="186"/>
      <c r="T83" s="188"/>
      <c r="U83" s="188"/>
      <c r="V83" s="192"/>
      <c r="W83" s="187"/>
    </row>
    <row r="84" spans="1:23" ht="11.25">
      <c r="A84" s="203"/>
      <c r="B84" s="52" t="s">
        <v>200</v>
      </c>
      <c r="C84" s="53"/>
      <c r="D84" s="53"/>
      <c r="E84" s="52"/>
      <c r="F84" s="201"/>
      <c r="G84" s="54"/>
      <c r="H84" s="54"/>
      <c r="I84" s="263">
        <f>HOAssumptions!G56</f>
        <v>40</v>
      </c>
      <c r="J84" s="291" t="s">
        <v>98</v>
      </c>
      <c r="K84" s="52">
        <v>1</v>
      </c>
      <c r="L84" s="202">
        <f t="shared" si="7"/>
        <v>40</v>
      </c>
      <c r="M84" s="52"/>
      <c r="N84" s="54"/>
      <c r="O84" s="54"/>
      <c r="P84" s="175">
        <f t="shared" si="8"/>
        <v>40</v>
      </c>
      <c r="Q84" s="175"/>
      <c r="S84" s="186"/>
      <c r="T84" s="188"/>
      <c r="U84" s="188"/>
      <c r="V84" s="192"/>
      <c r="W84" s="187"/>
    </row>
    <row r="85" spans="1:23" ht="11.25">
      <c r="A85" s="203"/>
      <c r="B85" s="52" t="s">
        <v>201</v>
      </c>
      <c r="C85" s="53"/>
      <c r="D85" s="53"/>
      <c r="E85" s="52"/>
      <c r="F85" s="201"/>
      <c r="G85" s="54"/>
      <c r="H85" s="54"/>
      <c r="I85" s="263">
        <f>HOAssumptions!G57</f>
        <v>0</v>
      </c>
      <c r="J85" s="291" t="s">
        <v>98</v>
      </c>
      <c r="K85" s="52">
        <v>1</v>
      </c>
      <c r="L85" s="202">
        <f t="shared" si="7"/>
        <v>0</v>
      </c>
      <c r="M85" s="52"/>
      <c r="N85" s="54"/>
      <c r="O85" s="54"/>
      <c r="P85" s="175">
        <f t="shared" si="8"/>
        <v>0</v>
      </c>
      <c r="Q85" s="175"/>
      <c r="S85" s="53"/>
      <c r="T85" s="99"/>
      <c r="U85" s="99"/>
      <c r="V85" s="108"/>
      <c r="W85" s="189"/>
    </row>
    <row r="86" spans="1:23" ht="11.25">
      <c r="A86" s="203"/>
      <c r="B86" s="52" t="s">
        <v>222</v>
      </c>
      <c r="C86" s="53"/>
      <c r="D86" s="53"/>
      <c r="E86" s="168"/>
      <c r="F86" s="52"/>
      <c r="G86" s="54"/>
      <c r="H86" s="54"/>
      <c r="I86" s="263">
        <v>830</v>
      </c>
      <c r="J86" s="291" t="s">
        <v>98</v>
      </c>
      <c r="K86" s="52">
        <v>1</v>
      </c>
      <c r="L86" s="202">
        <f t="shared" si="7"/>
        <v>830</v>
      </c>
      <c r="M86" s="52"/>
      <c r="N86" s="54"/>
      <c r="O86" s="54"/>
      <c r="P86" s="175">
        <f t="shared" si="8"/>
        <v>830</v>
      </c>
      <c r="Q86" s="175"/>
      <c r="S86" s="53"/>
      <c r="T86" s="99"/>
      <c r="U86" s="99"/>
      <c r="V86" s="108"/>
      <c r="W86" s="189"/>
    </row>
    <row r="87" spans="1:23" ht="11.25">
      <c r="A87" s="203"/>
      <c r="B87" s="52" t="s">
        <v>202</v>
      </c>
      <c r="C87" s="53"/>
      <c r="D87" s="53"/>
      <c r="E87" s="168"/>
      <c r="F87" s="52"/>
      <c r="G87" s="103"/>
      <c r="H87" s="103"/>
      <c r="I87" s="263">
        <f>HOAssumptions!G58</f>
        <v>400</v>
      </c>
      <c r="J87" s="51" t="s">
        <v>98</v>
      </c>
      <c r="K87" s="52">
        <v>1</v>
      </c>
      <c r="L87" s="264">
        <f t="shared" si="7"/>
        <v>400</v>
      </c>
      <c r="M87" s="52"/>
      <c r="N87" s="54"/>
      <c r="O87" s="54"/>
      <c r="P87" s="175">
        <f t="shared" si="8"/>
        <v>400</v>
      </c>
      <c r="Q87" s="175"/>
      <c r="S87" s="53"/>
      <c r="T87" s="99"/>
      <c r="U87" s="99"/>
      <c r="V87" s="108"/>
      <c r="W87" s="189"/>
    </row>
    <row r="88" spans="1:23" ht="11.25">
      <c r="A88" s="203"/>
      <c r="B88" s="52" t="s">
        <v>203</v>
      </c>
      <c r="C88" s="53"/>
      <c r="D88" s="53"/>
      <c r="E88" s="168"/>
      <c r="F88" s="52"/>
      <c r="G88" s="103"/>
      <c r="H88" s="103"/>
      <c r="I88" s="263">
        <f>HOAssumptions!G59</f>
        <v>400</v>
      </c>
      <c r="J88" s="51" t="s">
        <v>98</v>
      </c>
      <c r="K88" s="52">
        <v>1</v>
      </c>
      <c r="L88" s="264">
        <f t="shared" si="7"/>
        <v>400</v>
      </c>
      <c r="M88" s="52"/>
      <c r="N88" s="54"/>
      <c r="O88" s="54"/>
      <c r="P88" s="175">
        <f t="shared" si="8"/>
        <v>400</v>
      </c>
      <c r="Q88" s="175"/>
      <c r="S88" s="53"/>
      <c r="T88" s="99"/>
      <c r="U88" s="99"/>
      <c r="V88" s="108"/>
      <c r="W88" s="189"/>
    </row>
    <row r="89" spans="1:23" ht="11.25">
      <c r="A89" s="203"/>
      <c r="B89" s="52" t="s">
        <v>290</v>
      </c>
      <c r="C89" s="53"/>
      <c r="D89" s="53"/>
      <c r="E89" s="168"/>
      <c r="F89" s="52"/>
      <c r="G89" s="103"/>
      <c r="H89" s="103"/>
      <c r="I89" s="263">
        <f>HOAssumptions!G60</f>
        <v>1000</v>
      </c>
      <c r="J89" s="51" t="s">
        <v>98</v>
      </c>
      <c r="K89" s="52">
        <v>1</v>
      </c>
      <c r="L89" s="264">
        <f>$I89*K89</f>
        <v>1000</v>
      </c>
      <c r="M89" s="52"/>
      <c r="N89" s="54"/>
      <c r="O89" s="54"/>
      <c r="P89" s="175">
        <f t="shared" si="8"/>
        <v>1000</v>
      </c>
      <c r="Q89" s="175"/>
      <c r="S89" s="53"/>
      <c r="T89" s="99"/>
      <c r="U89" s="99"/>
      <c r="V89" s="108"/>
      <c r="W89" s="189"/>
    </row>
    <row r="90" spans="1:17" ht="11.25">
      <c r="A90" s="204" t="s">
        <v>204</v>
      </c>
      <c r="B90" s="181"/>
      <c r="C90" s="181"/>
      <c r="D90" s="181"/>
      <c r="E90" s="205"/>
      <c r="F90" s="284"/>
      <c r="G90" s="152"/>
      <c r="H90" s="152"/>
      <c r="I90" s="303"/>
      <c r="J90" s="183"/>
      <c r="K90" s="183"/>
      <c r="L90" s="212">
        <f>SUM(L83:L89)</f>
        <v>2770</v>
      </c>
      <c r="N90" s="152"/>
      <c r="O90" s="324"/>
      <c r="P90" s="212">
        <f>SUM(P83:P89)</f>
        <v>2770</v>
      </c>
      <c r="Q90" s="208">
        <f>Q81+P90</f>
        <v>21983.206340380955</v>
      </c>
    </row>
    <row r="91" spans="1:17" ht="11.25">
      <c r="A91" s="200" t="s">
        <v>238</v>
      </c>
      <c r="B91" s="53"/>
      <c r="C91" s="53"/>
      <c r="D91" s="53"/>
      <c r="E91" s="325"/>
      <c r="F91" s="326">
        <f>F9+F18+F31+F43+F50+F58+F62+F67+F72</f>
        <v>170.108</v>
      </c>
      <c r="G91" s="327"/>
      <c r="H91" s="216">
        <f>H9+H18+H31+H43+H50+H58+H62+H67+H72</f>
        <v>1361.755388</v>
      </c>
      <c r="I91" s="152"/>
      <c r="J91" s="154"/>
      <c r="K91" s="154"/>
      <c r="L91" s="327">
        <f>L9+L18+L31+L43+L50+L58+L62+L67+L72</f>
        <v>1142.2</v>
      </c>
      <c r="M91" s="326">
        <f>M9+M18+M31+M43+M50+M58+M62+M67+M72</f>
        <v>368</v>
      </c>
      <c r="N91" s="327"/>
      <c r="O91" s="327">
        <f>O9+O18+O31+O43+O50+O58+O62+O67+O72</f>
        <v>3680</v>
      </c>
      <c r="P91" s="213">
        <f>P9+P18+P31+P43+P50+P58+P62+P67+P72</f>
        <v>6183.955388000001</v>
      </c>
      <c r="Q91" s="177"/>
    </row>
    <row r="92" spans="1:17" ht="11.25">
      <c r="A92" s="200" t="s">
        <v>239</v>
      </c>
      <c r="B92" s="53"/>
      <c r="C92" s="53"/>
      <c r="D92" s="53"/>
      <c r="E92" s="52"/>
      <c r="F92" s="304">
        <f>F9+F18+F31+F43+F50+F58+F62+F67+F72+F81</f>
        <v>442.108</v>
      </c>
      <c r="G92" s="152"/>
      <c r="H92" s="212">
        <f>H9+H18+H31+H43+H50+H58+H62+H67+H72+H81</f>
        <v>3567.6730070476187</v>
      </c>
      <c r="I92" s="152"/>
      <c r="J92" s="154"/>
      <c r="K92" s="154"/>
      <c r="L92" s="152">
        <f>L9+L18+L31+L43+L50+L58+L62+L67+L72+L81</f>
        <v>4421.088888888889</v>
      </c>
      <c r="M92" s="304">
        <f>M9+M18+M31+M43+M50+M58+M62+M67+M72+M81</f>
        <v>1584.6666666666667</v>
      </c>
      <c r="N92" s="152"/>
      <c r="O92" s="152">
        <f>O9+O18+O31+O43+O50+O58+O62+O67+O72+O81</f>
        <v>11224.444444444445</v>
      </c>
      <c r="P92" s="177">
        <f>P9+P18+P31+P43+P50+P58+P62+P67+P72+P81</f>
        <v>19213.206340380955</v>
      </c>
      <c r="Q92" s="212"/>
    </row>
    <row r="93" spans="1:17" ht="11.25">
      <c r="A93" s="204" t="s">
        <v>206</v>
      </c>
      <c r="B93" s="181"/>
      <c r="C93" s="181"/>
      <c r="D93" s="181"/>
      <c r="E93" s="205"/>
      <c r="F93" s="303">
        <f>F9+F18+F31+F43+F50+F58+F62+F67+F72+F81+F90</f>
        <v>442.108</v>
      </c>
      <c r="G93" s="184"/>
      <c r="H93" s="207">
        <f>H9+H18+H31+H43+H50+H58+H62+H67+H72+H81+H90</f>
        <v>3567.6730070476187</v>
      </c>
      <c r="I93" s="184"/>
      <c r="J93" s="183"/>
      <c r="K93" s="183"/>
      <c r="L93" s="184">
        <f>L9+L18+L31+L43+L50+L58+L62+L67+L72+L81+L90</f>
        <v>7191.088888888889</v>
      </c>
      <c r="M93" s="303">
        <f>M9+M18+M31+M43+M50+M58+M62+M67+M72+M81+M90</f>
        <v>1584.6666666666667</v>
      </c>
      <c r="N93" s="184"/>
      <c r="O93" s="184">
        <f>O9+O18+O31+O43+O50+O58+O62+O67+O72+O81+O90</f>
        <v>11224.444444444445</v>
      </c>
      <c r="P93" s="208">
        <f>P9+P18+P31+P43+P50+P58+P62+P67+P72+P81+P90</f>
        <v>21983.206340380955</v>
      </c>
      <c r="Q93" s="215"/>
    </row>
  </sheetData>
  <sheetProtection password="ECAF" sheet="1" selectLockedCells="1"/>
  <mergeCells count="3">
    <mergeCell ref="F2:H2"/>
    <mergeCell ref="I2:L2"/>
    <mergeCell ref="M2:O2"/>
  </mergeCells>
  <printOptions/>
  <pageMargins left="0.65" right="0.19" top="0.25" bottom="0.25" header="0.25" footer="0.25"/>
  <pageSetup horizontalDpi="300" verticalDpi="300" orientation="landscape" scale="55" r:id="rId1"/>
</worksheet>
</file>

<file path=xl/worksheets/sheet13.xml><?xml version="1.0" encoding="utf-8"?>
<worksheet xmlns="http://schemas.openxmlformats.org/spreadsheetml/2006/main" xmlns:r="http://schemas.openxmlformats.org/officeDocument/2006/relationships">
  <sheetPr>
    <tabColor theme="0"/>
  </sheetPr>
  <dimension ref="A1:R100"/>
  <sheetViews>
    <sheetView showGridLines="0" zoomScalePageLayoutView="0" workbookViewId="0" topLeftCell="A59">
      <selection activeCell="A1" sqref="A1:Q100"/>
    </sheetView>
  </sheetViews>
  <sheetFormatPr defaultColWidth="8.8515625" defaultRowHeight="12.75"/>
  <cols>
    <col min="1" max="4" width="8.8515625" style="0" customWidth="1"/>
    <col min="5" max="5" width="18.421875" style="0" customWidth="1"/>
  </cols>
  <sheetData>
    <row r="1" spans="1:17" ht="12.75">
      <c r="A1" s="307" t="s">
        <v>243</v>
      </c>
      <c r="B1" s="99"/>
      <c r="C1" s="99"/>
      <c r="D1" s="99"/>
      <c r="E1" s="99"/>
      <c r="F1" s="149"/>
      <c r="G1" s="98"/>
      <c r="H1" s="106"/>
      <c r="I1" s="99"/>
      <c r="J1" s="51"/>
      <c r="K1" s="99"/>
      <c r="L1" s="106"/>
      <c r="M1" s="99"/>
      <c r="N1" s="55"/>
      <c r="O1" s="99"/>
      <c r="P1" s="99"/>
      <c r="Q1" s="99"/>
    </row>
    <row r="2" spans="1:17" ht="12.75">
      <c r="A2" s="276" t="s">
        <v>3</v>
      </c>
      <c r="B2" s="277" t="s">
        <v>3</v>
      </c>
      <c r="C2" s="159"/>
      <c r="D2" s="159"/>
      <c r="E2" s="165"/>
      <c r="F2" s="463" t="s">
        <v>50</v>
      </c>
      <c r="G2" s="464"/>
      <c r="H2" s="465"/>
      <c r="I2" s="466" t="s">
        <v>51</v>
      </c>
      <c r="J2" s="467"/>
      <c r="K2" s="467"/>
      <c r="L2" s="468"/>
      <c r="M2" s="463" t="s">
        <v>52</v>
      </c>
      <c r="N2" s="464"/>
      <c r="O2" s="465"/>
      <c r="P2" s="173" t="s">
        <v>5</v>
      </c>
      <c r="Q2" s="173" t="s">
        <v>6</v>
      </c>
    </row>
    <row r="3" spans="1:17" ht="12.75">
      <c r="A3" s="278" t="s">
        <v>4</v>
      </c>
      <c r="B3" s="228" t="s">
        <v>207</v>
      </c>
      <c r="C3" s="229"/>
      <c r="D3" s="157"/>
      <c r="E3" s="279"/>
      <c r="F3" s="155" t="s">
        <v>7</v>
      </c>
      <c r="G3" s="156" t="s">
        <v>8</v>
      </c>
      <c r="H3" s="156" t="s">
        <v>9</v>
      </c>
      <c r="I3" s="280" t="s">
        <v>10</v>
      </c>
      <c r="J3" s="155" t="s">
        <v>11</v>
      </c>
      <c r="K3" s="155" t="s">
        <v>75</v>
      </c>
      <c r="L3" s="281" t="s">
        <v>12</v>
      </c>
      <c r="M3" s="155" t="s">
        <v>7</v>
      </c>
      <c r="N3" s="155" t="s">
        <v>8</v>
      </c>
      <c r="O3" s="155" t="s">
        <v>13</v>
      </c>
      <c r="P3" s="282" t="s">
        <v>14</v>
      </c>
      <c r="Q3" s="282" t="s">
        <v>14</v>
      </c>
    </row>
    <row r="4" spans="1:17" ht="12.75">
      <c r="A4" s="307" t="s">
        <v>27</v>
      </c>
      <c r="B4" s="147"/>
      <c r="C4" s="147"/>
      <c r="D4" s="147"/>
      <c r="E4" s="225"/>
      <c r="F4" s="287"/>
      <c r="G4" s="153"/>
      <c r="H4" s="152"/>
      <c r="I4" s="288"/>
      <c r="J4" s="145"/>
      <c r="K4" s="154"/>
      <c r="L4" s="153"/>
      <c r="M4" s="284"/>
      <c r="N4" s="211"/>
      <c r="O4" s="153"/>
      <c r="P4" s="176"/>
      <c r="Q4" s="179"/>
    </row>
    <row r="5" spans="1:17" ht="12.75">
      <c r="A5" s="308"/>
      <c r="B5" s="222" t="s">
        <v>217</v>
      </c>
      <c r="C5" s="53"/>
      <c r="D5" s="53"/>
      <c r="E5" s="224" t="s">
        <v>90</v>
      </c>
      <c r="F5" s="289">
        <v>0.108</v>
      </c>
      <c r="G5" s="306">
        <f>Machinery!R15+Machinery!R4</f>
        <v>7.705444444444445</v>
      </c>
      <c r="H5" s="306">
        <f>F5*G5</f>
        <v>0.832188</v>
      </c>
      <c r="I5" s="317"/>
      <c r="J5" s="107"/>
      <c r="K5" s="99"/>
      <c r="L5" s="108"/>
      <c r="M5" s="285">
        <v>10</v>
      </c>
      <c r="N5" s="54">
        <f>HOAssumptions!G$35</f>
        <v>10</v>
      </c>
      <c r="O5" s="108">
        <f>M5*N5</f>
        <v>100</v>
      </c>
      <c r="P5" s="283">
        <f aca="true" t="shared" si="0" ref="P5:P10">$O5+$L5+$H5</f>
        <v>100.832188</v>
      </c>
      <c r="Q5" s="283"/>
    </row>
    <row r="6" spans="1:18" ht="12.75">
      <c r="A6" s="345"/>
      <c r="B6" s="346" t="s">
        <v>154</v>
      </c>
      <c r="C6" s="346"/>
      <c r="D6" s="346"/>
      <c r="E6" s="347" t="s">
        <v>34</v>
      </c>
      <c r="F6" s="348"/>
      <c r="G6" s="349"/>
      <c r="H6" s="350"/>
      <c r="I6" s="351"/>
      <c r="J6" s="352"/>
      <c r="K6" s="353"/>
      <c r="L6" s="350"/>
      <c r="M6" s="354">
        <v>32</v>
      </c>
      <c r="N6" s="355">
        <f>HOAssumptions!G$35</f>
        <v>10</v>
      </c>
      <c r="O6" s="350">
        <f>M6*N6</f>
        <v>320</v>
      </c>
      <c r="P6" s="356">
        <f t="shared" si="0"/>
        <v>320</v>
      </c>
      <c r="Q6" s="356"/>
      <c r="R6" s="344"/>
    </row>
    <row r="7" spans="1:18" ht="12.75">
      <c r="A7" s="345"/>
      <c r="B7" s="346" t="s">
        <v>156</v>
      </c>
      <c r="C7" s="346"/>
      <c r="D7" s="346"/>
      <c r="E7" s="347" t="s">
        <v>34</v>
      </c>
      <c r="F7" s="348"/>
      <c r="G7" s="349"/>
      <c r="H7" s="350"/>
      <c r="I7" s="351">
        <v>3</v>
      </c>
      <c r="J7" s="352" t="s">
        <v>155</v>
      </c>
      <c r="K7" s="353">
        <v>400</v>
      </c>
      <c r="L7" s="357">
        <f>I7*K7</f>
        <v>1200</v>
      </c>
      <c r="M7" s="354">
        <v>64</v>
      </c>
      <c r="N7" s="355">
        <f>HOAssumptions!G$35</f>
        <v>10</v>
      </c>
      <c r="O7" s="350">
        <f>M7*N7</f>
        <v>640</v>
      </c>
      <c r="P7" s="356">
        <f t="shared" si="0"/>
        <v>1840</v>
      </c>
      <c r="Q7" s="356"/>
      <c r="R7" s="344"/>
    </row>
    <row r="8" spans="1:18" ht="12.75">
      <c r="A8" s="308"/>
      <c r="B8" s="222" t="s">
        <v>311</v>
      </c>
      <c r="C8" s="436"/>
      <c r="D8" s="436"/>
      <c r="E8" s="224" t="s">
        <v>308</v>
      </c>
      <c r="F8" s="289">
        <v>8</v>
      </c>
      <c r="G8" s="306">
        <f>Machinery!R$18+Machinery!R$19</f>
        <v>8.138666666666667</v>
      </c>
      <c r="H8" s="306">
        <f>F8*G8</f>
        <v>65.10933333333334</v>
      </c>
      <c r="I8" s="317"/>
      <c r="J8" s="107"/>
      <c r="K8" s="99"/>
      <c r="L8" s="108"/>
      <c r="M8" s="285">
        <v>4</v>
      </c>
      <c r="N8" s="433">
        <f>HOAssumptions!G$35</f>
        <v>10</v>
      </c>
      <c r="O8" s="108">
        <f>M8*N8</f>
        <v>40</v>
      </c>
      <c r="P8" s="283">
        <f t="shared" si="0"/>
        <v>105.10933333333334</v>
      </c>
      <c r="Q8" s="446"/>
      <c r="R8" s="35"/>
    </row>
    <row r="9" spans="1:18" ht="12.75">
      <c r="A9" s="308"/>
      <c r="B9" s="222"/>
      <c r="C9" s="443" t="s">
        <v>309</v>
      </c>
      <c r="D9" s="443"/>
      <c r="E9" s="444" t="s">
        <v>3</v>
      </c>
      <c r="F9" s="439"/>
      <c r="G9" s="439"/>
      <c r="H9" s="445"/>
      <c r="I9" s="440">
        <v>1.02</v>
      </c>
      <c r="J9" s="442" t="s">
        <v>294</v>
      </c>
      <c r="K9" s="441">
        <f>8*4</f>
        <v>32</v>
      </c>
      <c r="L9" s="440">
        <v>8.16</v>
      </c>
      <c r="M9" s="285"/>
      <c r="N9" s="433"/>
      <c r="O9" s="108"/>
      <c r="P9" s="283">
        <f t="shared" si="0"/>
        <v>8.16</v>
      </c>
      <c r="Q9" s="446"/>
      <c r="R9" s="35"/>
    </row>
    <row r="10" spans="1:17" ht="12.75">
      <c r="A10" s="308"/>
      <c r="B10" s="436" t="s">
        <v>3</v>
      </c>
      <c r="C10" s="443" t="s">
        <v>310</v>
      </c>
      <c r="D10" s="443"/>
      <c r="E10" s="444"/>
      <c r="F10" s="439"/>
      <c r="G10" s="439"/>
      <c r="H10" s="445"/>
      <c r="I10" s="440">
        <v>0.68</v>
      </c>
      <c r="J10" s="442" t="s">
        <v>294</v>
      </c>
      <c r="K10" s="441">
        <f>20*4</f>
        <v>80</v>
      </c>
      <c r="L10" s="440">
        <v>13.600000000000001</v>
      </c>
      <c r="M10" s="285"/>
      <c r="N10" s="433"/>
      <c r="O10" s="108"/>
      <c r="P10" s="283">
        <f t="shared" si="0"/>
        <v>13.600000000000001</v>
      </c>
      <c r="Q10" s="283"/>
    </row>
    <row r="11" spans="1:17" ht="12.75">
      <c r="A11" s="309" t="s">
        <v>32</v>
      </c>
      <c r="B11" s="181"/>
      <c r="C11" s="181"/>
      <c r="D11" s="181"/>
      <c r="E11" s="237"/>
      <c r="F11" s="206">
        <f>SUM(F5:F10)</f>
        <v>8.108</v>
      </c>
      <c r="G11" s="299"/>
      <c r="H11" s="299">
        <f>SUM(H5:H10)</f>
        <v>65.94152133333334</v>
      </c>
      <c r="I11" s="318"/>
      <c r="J11" s="239"/>
      <c r="K11" s="182"/>
      <c r="L11" s="184">
        <f>SUM(L5:L10)</f>
        <v>1221.76</v>
      </c>
      <c r="M11" s="206">
        <f>SUM(M5:M10)</f>
        <v>110</v>
      </c>
      <c r="N11" s="184"/>
      <c r="O11" s="184">
        <f>SUM(O5:O10)</f>
        <v>1100</v>
      </c>
      <c r="P11" s="208">
        <f>SUM(P5:P10)</f>
        <v>2387.701521333333</v>
      </c>
      <c r="Q11" s="208">
        <f>P11</f>
        <v>2387.701521333333</v>
      </c>
    </row>
    <row r="12" spans="1:17" ht="12.75">
      <c r="A12" s="307" t="s">
        <v>23</v>
      </c>
      <c r="B12" s="53"/>
      <c r="C12" s="53"/>
      <c r="D12" s="53"/>
      <c r="E12" s="224"/>
      <c r="F12" s="284"/>
      <c r="G12" s="305"/>
      <c r="H12" s="305"/>
      <c r="I12" s="319"/>
      <c r="J12" s="218"/>
      <c r="K12" s="150"/>
      <c r="L12" s="152"/>
      <c r="M12" s="284"/>
      <c r="N12" s="152"/>
      <c r="O12" s="152"/>
      <c r="P12" s="177"/>
      <c r="Q12" s="177"/>
    </row>
    <row r="13" spans="1:17" ht="12.75">
      <c r="A13" s="308"/>
      <c r="B13" s="53" t="s">
        <v>224</v>
      </c>
      <c r="C13" s="53"/>
      <c r="D13" s="52"/>
      <c r="E13" s="224" t="s">
        <v>34</v>
      </c>
      <c r="F13" s="290"/>
      <c r="G13" s="306"/>
      <c r="H13" s="104"/>
      <c r="I13" s="317"/>
      <c r="J13" s="51"/>
      <c r="K13" s="52"/>
      <c r="L13" s="54"/>
      <c r="M13" s="201">
        <v>96</v>
      </c>
      <c r="N13" s="54">
        <f>HOAssumptions!G$35</f>
        <v>10</v>
      </c>
      <c r="O13" s="54">
        <f>$M13*$N13</f>
        <v>960</v>
      </c>
      <c r="P13" s="175">
        <f aca="true" t="shared" si="1" ref="P13:P20">$O13+$L13+$H13</f>
        <v>960</v>
      </c>
      <c r="Q13" s="175"/>
    </row>
    <row r="14" spans="1:17" ht="12.75">
      <c r="A14" s="308"/>
      <c r="B14" s="222" t="s">
        <v>216</v>
      </c>
      <c r="C14" s="99"/>
      <c r="D14" s="224" t="s">
        <v>3</v>
      </c>
      <c r="E14" s="224" t="s">
        <v>71</v>
      </c>
      <c r="F14" s="289">
        <v>1</v>
      </c>
      <c r="G14" s="306">
        <f>Machinery!R5+Machinery!R10</f>
        <v>15.292533333333333</v>
      </c>
      <c r="H14" s="306">
        <f>F14*G14</f>
        <v>15.292533333333333</v>
      </c>
      <c r="I14" s="320"/>
      <c r="J14" s="51"/>
      <c r="K14" s="100"/>
      <c r="L14" s="108"/>
      <c r="M14" s="285">
        <f>F14*1.2</f>
        <v>1.2</v>
      </c>
      <c r="N14" s="54">
        <f>HOAssumptions!G$35</f>
        <v>10</v>
      </c>
      <c r="O14" s="54">
        <f>$M14*$N14</f>
        <v>12</v>
      </c>
      <c r="P14" s="175">
        <f t="shared" si="1"/>
        <v>27.29253333333333</v>
      </c>
      <c r="Q14" s="283"/>
    </row>
    <row r="15" spans="1:17" ht="12.75">
      <c r="A15" s="308"/>
      <c r="B15" s="222" t="s">
        <v>36</v>
      </c>
      <c r="C15" s="99"/>
      <c r="D15" s="224" t="s">
        <v>3</v>
      </c>
      <c r="E15" s="224" t="s">
        <v>147</v>
      </c>
      <c r="F15" s="289">
        <v>16</v>
      </c>
      <c r="G15" s="306">
        <f>Machinery!R18</f>
        <v>7.733333333333334</v>
      </c>
      <c r="H15" s="306">
        <f>F15*G15</f>
        <v>123.73333333333335</v>
      </c>
      <c r="I15" s="320"/>
      <c r="J15" s="51"/>
      <c r="K15" s="100"/>
      <c r="L15" s="108"/>
      <c r="M15" s="285">
        <f>F15/4*0.5</f>
        <v>2</v>
      </c>
      <c r="N15" s="54">
        <f>HOAssumptions!G$35</f>
        <v>10</v>
      </c>
      <c r="O15" s="54">
        <f>$M15*$N15</f>
        <v>20</v>
      </c>
      <c r="P15" s="175">
        <f t="shared" si="1"/>
        <v>143.73333333333335</v>
      </c>
      <c r="Q15" s="283"/>
    </row>
    <row r="16" spans="1:17" ht="12.75">
      <c r="A16" s="308"/>
      <c r="B16" s="222" t="s">
        <v>311</v>
      </c>
      <c r="C16" s="436"/>
      <c r="D16" s="436"/>
      <c r="E16" s="224" t="s">
        <v>308</v>
      </c>
      <c r="F16" s="289">
        <v>8</v>
      </c>
      <c r="G16" s="306">
        <f>Machinery!R$18+Machinery!R$19</f>
        <v>8.138666666666667</v>
      </c>
      <c r="H16" s="306">
        <f>F16*G16</f>
        <v>65.10933333333334</v>
      </c>
      <c r="I16" s="317"/>
      <c r="J16" s="107"/>
      <c r="K16" s="99"/>
      <c r="L16" s="108"/>
      <c r="M16" s="285">
        <v>4</v>
      </c>
      <c r="N16" s="433">
        <f>HOAssumptions!G$35</f>
        <v>10</v>
      </c>
      <c r="O16" s="108">
        <f>M16*N16</f>
        <v>40</v>
      </c>
      <c r="P16" s="283">
        <f t="shared" si="1"/>
        <v>105.10933333333334</v>
      </c>
      <c r="Q16" s="283"/>
    </row>
    <row r="17" spans="1:17" ht="12.75">
      <c r="A17" s="308"/>
      <c r="B17" s="222"/>
      <c r="C17" s="443" t="s">
        <v>309</v>
      </c>
      <c r="D17" s="443"/>
      <c r="E17" s="444" t="s">
        <v>3</v>
      </c>
      <c r="F17" s="439"/>
      <c r="G17" s="439"/>
      <c r="H17" s="445"/>
      <c r="I17" s="440">
        <v>1.02</v>
      </c>
      <c r="J17" s="442" t="s">
        <v>294</v>
      </c>
      <c r="K17" s="441">
        <f>8*4</f>
        <v>32</v>
      </c>
      <c r="L17" s="440">
        <v>8.16</v>
      </c>
      <c r="M17" s="285"/>
      <c r="N17" s="433"/>
      <c r="O17" s="108"/>
      <c r="P17" s="283">
        <f t="shared" si="1"/>
        <v>8.16</v>
      </c>
      <c r="Q17" s="283"/>
    </row>
    <row r="18" spans="1:17" ht="12.75">
      <c r="A18" s="308"/>
      <c r="B18" s="436" t="s">
        <v>3</v>
      </c>
      <c r="C18" s="443" t="s">
        <v>310</v>
      </c>
      <c r="D18" s="443"/>
      <c r="E18" s="444"/>
      <c r="F18" s="439"/>
      <c r="G18" s="439"/>
      <c r="H18" s="445"/>
      <c r="I18" s="440">
        <v>0.68</v>
      </c>
      <c r="J18" s="442" t="s">
        <v>294</v>
      </c>
      <c r="K18" s="441">
        <f>20*4</f>
        <v>80</v>
      </c>
      <c r="L18" s="440">
        <v>13.600000000000001</v>
      </c>
      <c r="M18" s="285"/>
      <c r="N18" s="433"/>
      <c r="O18" s="108"/>
      <c r="P18" s="283">
        <f t="shared" si="1"/>
        <v>13.600000000000001</v>
      </c>
      <c r="Q18" s="283"/>
    </row>
    <row r="19" spans="1:17" ht="12.75">
      <c r="A19" s="308"/>
      <c r="B19" s="222" t="s">
        <v>219</v>
      </c>
      <c r="C19" s="99"/>
      <c r="D19" s="99"/>
      <c r="E19" s="222" t="s">
        <v>34</v>
      </c>
      <c r="F19" s="289"/>
      <c r="G19" s="306"/>
      <c r="H19" s="306"/>
      <c r="I19" s="320"/>
      <c r="J19" s="51"/>
      <c r="K19" s="99"/>
      <c r="L19" s="108"/>
      <c r="M19" s="285">
        <v>4</v>
      </c>
      <c r="N19" s="54">
        <f>HOAssumptions!G$35</f>
        <v>10</v>
      </c>
      <c r="O19" s="108">
        <f>M19*N19</f>
        <v>40</v>
      </c>
      <c r="P19" s="283">
        <f t="shared" si="1"/>
        <v>40</v>
      </c>
      <c r="Q19" s="283"/>
    </row>
    <row r="20" spans="1:17" ht="12.75">
      <c r="A20" s="308"/>
      <c r="B20" s="222" t="s">
        <v>46</v>
      </c>
      <c r="C20" s="99"/>
      <c r="D20" s="222"/>
      <c r="E20" s="222"/>
      <c r="F20" s="289"/>
      <c r="G20" s="306"/>
      <c r="H20" s="306"/>
      <c r="I20" s="320">
        <v>75</v>
      </c>
      <c r="J20" s="51" t="s">
        <v>45</v>
      </c>
      <c r="K20" s="105">
        <v>2</v>
      </c>
      <c r="L20" s="54">
        <f>I20*K20</f>
        <v>150</v>
      </c>
      <c r="M20" s="285"/>
      <c r="N20" s="108"/>
      <c r="O20" s="108"/>
      <c r="P20" s="175">
        <f t="shared" si="1"/>
        <v>150</v>
      </c>
      <c r="Q20" s="283"/>
    </row>
    <row r="21" spans="1:17" ht="12.75">
      <c r="A21" s="309" t="s">
        <v>24</v>
      </c>
      <c r="B21" s="181"/>
      <c r="C21" s="181"/>
      <c r="D21" s="181"/>
      <c r="E21" s="237"/>
      <c r="F21" s="214">
        <f>SUM(F13:F20)</f>
        <v>25</v>
      </c>
      <c r="G21" s="299"/>
      <c r="H21" s="299">
        <f>SUM(H13:H$20)</f>
        <v>204.1352</v>
      </c>
      <c r="I21" s="318"/>
      <c r="J21" s="242"/>
      <c r="K21" s="184"/>
      <c r="L21" s="184">
        <f>SUM(L13:L$20)</f>
        <v>171.76</v>
      </c>
      <c r="M21" s="206">
        <f>SUM(M$13:M$20)</f>
        <v>107.2</v>
      </c>
      <c r="N21" s="184"/>
      <c r="O21" s="184">
        <f>SUM(O13:O$20)</f>
        <v>1072</v>
      </c>
      <c r="P21" s="208">
        <f>SUM(P13:P20)</f>
        <v>1447.8952000000002</v>
      </c>
      <c r="Q21" s="208">
        <f>Q11+P21</f>
        <v>3835.5967213333333</v>
      </c>
    </row>
    <row r="22" spans="1:17" ht="12.75">
      <c r="A22" s="307" t="s">
        <v>16</v>
      </c>
      <c r="B22" s="147"/>
      <c r="C22" s="147"/>
      <c r="D22" s="147"/>
      <c r="E22" s="225"/>
      <c r="F22" s="287"/>
      <c r="G22" s="305"/>
      <c r="H22" s="305"/>
      <c r="I22" s="319"/>
      <c r="J22" s="145"/>
      <c r="K22" s="154"/>
      <c r="L22" s="152"/>
      <c r="M22" s="284"/>
      <c r="N22" s="152"/>
      <c r="O22" s="152"/>
      <c r="P22" s="177"/>
      <c r="Q22" s="177"/>
    </row>
    <row r="23" spans="1:17" ht="12.75">
      <c r="A23" s="310"/>
      <c r="B23" s="222" t="s">
        <v>220</v>
      </c>
      <c r="C23" s="99"/>
      <c r="D23" s="99"/>
      <c r="E23" s="224" t="s">
        <v>34</v>
      </c>
      <c r="F23" s="289"/>
      <c r="G23" s="306"/>
      <c r="H23" s="306"/>
      <c r="I23" s="320"/>
      <c r="J23" s="51"/>
      <c r="K23" s="100"/>
      <c r="L23" s="108"/>
      <c r="M23" s="285">
        <v>10</v>
      </c>
      <c r="N23" s="54">
        <f>HOAssumptions!G$35</f>
        <v>10</v>
      </c>
      <c r="O23" s="108">
        <f aca="true" t="shared" si="2" ref="O23:O31">+$N23*$M23</f>
        <v>100</v>
      </c>
      <c r="P23" s="283">
        <f aca="true" t="shared" si="3" ref="P23:P33">$O23+$L23+$H23</f>
        <v>100</v>
      </c>
      <c r="Q23" s="283"/>
    </row>
    <row r="24" spans="1:17" ht="12.75">
      <c r="A24" s="310"/>
      <c r="B24" s="222" t="s">
        <v>216</v>
      </c>
      <c r="C24" s="99"/>
      <c r="D24" s="99"/>
      <c r="E24" s="224" t="s">
        <v>71</v>
      </c>
      <c r="F24" s="289">
        <v>1</v>
      </c>
      <c r="G24" s="306">
        <f>Machinery!R5+Machinery!R10</f>
        <v>15.292533333333333</v>
      </c>
      <c r="H24" s="306">
        <f>F24*G24</f>
        <v>15.292533333333333</v>
      </c>
      <c r="I24" s="320"/>
      <c r="J24" s="51"/>
      <c r="K24" s="100"/>
      <c r="L24" s="108"/>
      <c r="M24" s="285">
        <f>F24*1.2</f>
        <v>1.2</v>
      </c>
      <c r="N24" s="54">
        <f>HOAssumptions!G$35</f>
        <v>10</v>
      </c>
      <c r="O24" s="108">
        <f t="shared" si="2"/>
        <v>12</v>
      </c>
      <c r="P24" s="283">
        <f t="shared" si="3"/>
        <v>27.29253333333333</v>
      </c>
      <c r="Q24" s="283"/>
    </row>
    <row r="25" spans="1:17" ht="12.75">
      <c r="A25" s="310"/>
      <c r="B25" s="222" t="s">
        <v>36</v>
      </c>
      <c r="C25" s="99"/>
      <c r="D25" s="99"/>
      <c r="E25" s="224" t="s">
        <v>147</v>
      </c>
      <c r="F25" s="289">
        <v>16</v>
      </c>
      <c r="G25" s="306">
        <f>Machinery!R18</f>
        <v>7.733333333333334</v>
      </c>
      <c r="H25" s="306">
        <f>F25*G25</f>
        <v>123.73333333333335</v>
      </c>
      <c r="I25" s="320"/>
      <c r="J25" s="51"/>
      <c r="K25" s="100"/>
      <c r="L25" s="108"/>
      <c r="M25" s="285">
        <f>F25/4*0.5</f>
        <v>2</v>
      </c>
      <c r="N25" s="54">
        <f>HOAssumptions!G$35</f>
        <v>10</v>
      </c>
      <c r="O25" s="108">
        <f t="shared" si="2"/>
        <v>20</v>
      </c>
      <c r="P25" s="283">
        <f t="shared" si="3"/>
        <v>143.73333333333335</v>
      </c>
      <c r="Q25" s="283"/>
    </row>
    <row r="26" spans="1:17" ht="12.75">
      <c r="A26" s="308"/>
      <c r="B26" s="222" t="s">
        <v>311</v>
      </c>
      <c r="C26" s="436"/>
      <c r="D26" s="436"/>
      <c r="E26" s="224" t="s">
        <v>308</v>
      </c>
      <c r="F26" s="289">
        <v>8</v>
      </c>
      <c r="G26" s="306">
        <f>Machinery!R$18+Machinery!R$19</f>
        <v>8.138666666666667</v>
      </c>
      <c r="H26" s="306">
        <f>F26*G26</f>
        <v>65.10933333333334</v>
      </c>
      <c r="I26" s="317"/>
      <c r="J26" s="107"/>
      <c r="K26" s="99"/>
      <c r="L26" s="108"/>
      <c r="M26" s="285">
        <v>4</v>
      </c>
      <c r="N26" s="433">
        <f>HOAssumptions!G$35</f>
        <v>10</v>
      </c>
      <c r="O26" s="108">
        <f>M26*N26</f>
        <v>40</v>
      </c>
      <c r="P26" s="283">
        <f>$O26+$L26+$H26</f>
        <v>105.10933333333334</v>
      </c>
      <c r="Q26" s="283"/>
    </row>
    <row r="27" spans="1:17" ht="12.75">
      <c r="A27" s="308"/>
      <c r="B27" s="222"/>
      <c r="C27" s="443" t="s">
        <v>309</v>
      </c>
      <c r="D27" s="443"/>
      <c r="E27" s="444" t="s">
        <v>3</v>
      </c>
      <c r="F27" s="439"/>
      <c r="G27" s="439"/>
      <c r="H27" s="445"/>
      <c r="I27" s="440">
        <v>1.02</v>
      </c>
      <c r="J27" s="442" t="s">
        <v>294</v>
      </c>
      <c r="K27" s="441">
        <f>8*4</f>
        <v>32</v>
      </c>
      <c r="L27" s="440">
        <v>8.16</v>
      </c>
      <c r="M27" s="285"/>
      <c r="N27" s="433"/>
      <c r="O27" s="108"/>
      <c r="P27" s="283">
        <f>$O27+$L27+$H27</f>
        <v>8.16</v>
      </c>
      <c r="Q27" s="283"/>
    </row>
    <row r="28" spans="1:17" ht="12.75">
      <c r="A28" s="308"/>
      <c r="B28" s="436" t="s">
        <v>3</v>
      </c>
      <c r="C28" s="443" t="s">
        <v>310</v>
      </c>
      <c r="D28" s="443"/>
      <c r="E28" s="444"/>
      <c r="F28" s="439"/>
      <c r="G28" s="439"/>
      <c r="H28" s="445"/>
      <c r="I28" s="440">
        <v>0.68</v>
      </c>
      <c r="J28" s="442" t="s">
        <v>294</v>
      </c>
      <c r="K28" s="441">
        <f>20*4</f>
        <v>80</v>
      </c>
      <c r="L28" s="440">
        <v>13.600000000000001</v>
      </c>
      <c r="M28" s="285"/>
      <c r="N28" s="433"/>
      <c r="O28" s="108"/>
      <c r="P28" s="283">
        <f>$O28+$L28+$H28</f>
        <v>13.600000000000001</v>
      </c>
      <c r="Q28" s="283"/>
    </row>
    <row r="29" spans="1:17" ht="12.75">
      <c r="A29" s="310"/>
      <c r="B29" s="222" t="s">
        <v>280</v>
      </c>
      <c r="C29" s="99"/>
      <c r="D29" s="99"/>
      <c r="E29" s="168" t="s">
        <v>275</v>
      </c>
      <c r="F29" s="289">
        <v>0.5</v>
      </c>
      <c r="G29" s="306">
        <f>Machinery!R5+Machinery!R9</f>
        <v>19.3096</v>
      </c>
      <c r="H29" s="306">
        <f>F29*G29</f>
        <v>9.6548</v>
      </c>
      <c r="I29" s="320">
        <v>33.75</v>
      </c>
      <c r="J29" s="51" t="s">
        <v>277</v>
      </c>
      <c r="K29" s="105">
        <v>4</v>
      </c>
      <c r="L29" s="54">
        <f>I29*K29</f>
        <v>135</v>
      </c>
      <c r="M29" s="285">
        <f>F29*1.2</f>
        <v>0.6</v>
      </c>
      <c r="N29" s="54">
        <f>HOAssumptions!G$35</f>
        <v>10</v>
      </c>
      <c r="O29" s="108">
        <f t="shared" si="2"/>
        <v>6</v>
      </c>
      <c r="P29" s="283">
        <f t="shared" si="3"/>
        <v>150.6548</v>
      </c>
      <c r="Q29" s="283"/>
    </row>
    <row r="30" spans="1:17" ht="12.75">
      <c r="A30" s="310"/>
      <c r="B30" s="222" t="s">
        <v>281</v>
      </c>
      <c r="C30" s="99"/>
      <c r="D30" s="99"/>
      <c r="E30" s="168" t="s">
        <v>275</v>
      </c>
      <c r="F30" s="289">
        <v>0.5</v>
      </c>
      <c r="G30" s="306">
        <f>Machinery!R5+Machinery!R9</f>
        <v>19.3096</v>
      </c>
      <c r="H30" s="306">
        <f>F30*G30</f>
        <v>9.6548</v>
      </c>
      <c r="I30" s="320">
        <v>14.55</v>
      </c>
      <c r="J30" s="51" t="s">
        <v>278</v>
      </c>
      <c r="K30" s="105">
        <v>4</v>
      </c>
      <c r="L30" s="54">
        <f>I30*K30</f>
        <v>58.2</v>
      </c>
      <c r="M30" s="285">
        <f>F30*1.2</f>
        <v>0.6</v>
      </c>
      <c r="N30" s="54">
        <f>HOAssumptions!G$35</f>
        <v>10</v>
      </c>
      <c r="O30" s="108">
        <f t="shared" si="2"/>
        <v>6</v>
      </c>
      <c r="P30" s="283">
        <f t="shared" si="3"/>
        <v>73.8548</v>
      </c>
      <c r="Q30" s="283"/>
    </row>
    <row r="31" spans="1:17" ht="12.75">
      <c r="A31" s="310"/>
      <c r="B31" s="222" t="s">
        <v>282</v>
      </c>
      <c r="C31" s="99"/>
      <c r="D31" s="99"/>
      <c r="E31" s="168" t="s">
        <v>275</v>
      </c>
      <c r="F31" s="289">
        <v>0.5</v>
      </c>
      <c r="G31" s="306">
        <f>Machinery!R5+Machinery!R9</f>
        <v>19.3096</v>
      </c>
      <c r="H31" s="306">
        <f>F31*G31</f>
        <v>9.6548</v>
      </c>
      <c r="I31" s="320">
        <v>24</v>
      </c>
      <c r="J31" s="51" t="s">
        <v>279</v>
      </c>
      <c r="K31" s="105">
        <v>4</v>
      </c>
      <c r="L31" s="54">
        <f>I31*K31</f>
        <v>96</v>
      </c>
      <c r="M31" s="285">
        <f>F31*1.2</f>
        <v>0.6</v>
      </c>
      <c r="N31" s="54">
        <f>HOAssumptions!G$35</f>
        <v>10</v>
      </c>
      <c r="O31" s="108">
        <f t="shared" si="2"/>
        <v>6</v>
      </c>
      <c r="P31" s="283">
        <f t="shared" si="3"/>
        <v>111.6548</v>
      </c>
      <c r="Q31" s="283"/>
    </row>
    <row r="32" spans="1:17" ht="12.75">
      <c r="A32" s="310"/>
      <c r="B32" s="222" t="s">
        <v>219</v>
      </c>
      <c r="C32" s="99"/>
      <c r="D32" s="99"/>
      <c r="E32" s="222" t="s">
        <v>34</v>
      </c>
      <c r="F32" s="289"/>
      <c r="G32" s="306"/>
      <c r="H32" s="306"/>
      <c r="I32" s="320"/>
      <c r="J32" s="51"/>
      <c r="K32" s="99"/>
      <c r="L32" s="108"/>
      <c r="M32" s="285">
        <v>4</v>
      </c>
      <c r="N32" s="54">
        <f>HOAssumptions!G$35</f>
        <v>10</v>
      </c>
      <c r="O32" s="108">
        <f>M32*N32</f>
        <v>40</v>
      </c>
      <c r="P32" s="283">
        <f t="shared" si="3"/>
        <v>40</v>
      </c>
      <c r="Q32" s="283"/>
    </row>
    <row r="33" spans="1:17" ht="12.75">
      <c r="A33" s="308"/>
      <c r="B33" s="53" t="s">
        <v>46</v>
      </c>
      <c r="C33" s="53"/>
      <c r="D33" s="53"/>
      <c r="E33" s="222"/>
      <c r="F33" s="203"/>
      <c r="G33" s="104"/>
      <c r="H33" s="104"/>
      <c r="I33" s="320">
        <v>75</v>
      </c>
      <c r="J33" s="51" t="s">
        <v>45</v>
      </c>
      <c r="K33" s="105">
        <v>2</v>
      </c>
      <c r="L33" s="54">
        <f>I33*K33</f>
        <v>150</v>
      </c>
      <c r="M33" s="201"/>
      <c r="N33" s="54"/>
      <c r="O33" s="54"/>
      <c r="P33" s="175">
        <f t="shared" si="3"/>
        <v>150</v>
      </c>
      <c r="Q33" s="175"/>
    </row>
    <row r="34" spans="1:17" ht="12.75">
      <c r="A34" s="309" t="s">
        <v>17</v>
      </c>
      <c r="B34" s="181"/>
      <c r="C34" s="181"/>
      <c r="D34" s="181"/>
      <c r="E34" s="237"/>
      <c r="F34" s="214">
        <f>SUM(F23:F33)</f>
        <v>26.5</v>
      </c>
      <c r="G34" s="299"/>
      <c r="H34" s="299">
        <f>SUM(H23:H33)</f>
        <v>233.09959999999998</v>
      </c>
      <c r="I34" s="318"/>
      <c r="J34" s="239"/>
      <c r="K34" s="182"/>
      <c r="L34" s="184">
        <f>SUM(L23:L33)</f>
        <v>460.96</v>
      </c>
      <c r="M34" s="206">
        <f>SUM(M23:M33)</f>
        <v>23.000000000000004</v>
      </c>
      <c r="N34" s="184"/>
      <c r="O34" s="184">
        <f>SUM(O23:O33)</f>
        <v>230</v>
      </c>
      <c r="P34" s="208">
        <f>SUM(P23:P33)</f>
        <v>924.0596</v>
      </c>
      <c r="Q34" s="208">
        <f>Q21+P34</f>
        <v>4759.656321333334</v>
      </c>
    </row>
    <row r="35" spans="1:17" ht="12.75">
      <c r="A35" s="307" t="s">
        <v>35</v>
      </c>
      <c r="B35" s="147"/>
      <c r="C35" s="147"/>
      <c r="D35" s="147"/>
      <c r="E35" s="225"/>
      <c r="F35" s="287"/>
      <c r="G35" s="305"/>
      <c r="H35" s="305"/>
      <c r="I35" s="319"/>
      <c r="J35" s="145"/>
      <c r="K35" s="154"/>
      <c r="L35" s="152"/>
      <c r="M35" s="284"/>
      <c r="N35" s="152"/>
      <c r="O35" s="152"/>
      <c r="P35" s="177"/>
      <c r="Q35" s="177"/>
    </row>
    <row r="36" spans="1:17" ht="12.75">
      <c r="A36" s="310"/>
      <c r="B36" s="222" t="s">
        <v>220</v>
      </c>
      <c r="C36" s="99"/>
      <c r="D36" s="99"/>
      <c r="E36" s="224" t="s">
        <v>34</v>
      </c>
      <c r="F36" s="289"/>
      <c r="G36" s="306"/>
      <c r="H36" s="306"/>
      <c r="I36" s="320"/>
      <c r="J36" s="51"/>
      <c r="K36" s="100"/>
      <c r="L36" s="108"/>
      <c r="M36" s="285">
        <v>10</v>
      </c>
      <c r="N36" s="54">
        <f>HOAssumptions!G$35</f>
        <v>10</v>
      </c>
      <c r="O36" s="108">
        <f>+$N36*$M36</f>
        <v>100</v>
      </c>
      <c r="P36" s="283">
        <f aca="true" t="shared" si="4" ref="P36:P45">$O36+$L36+$H36</f>
        <v>100</v>
      </c>
      <c r="Q36" s="283"/>
    </row>
    <row r="37" spans="1:17" ht="12.75">
      <c r="A37" s="310"/>
      <c r="B37" s="222" t="s">
        <v>216</v>
      </c>
      <c r="C37" s="99"/>
      <c r="D37" s="99"/>
      <c r="E37" s="224" t="s">
        <v>71</v>
      </c>
      <c r="F37" s="289">
        <v>1</v>
      </c>
      <c r="G37" s="306">
        <f>Machinery!R5+Machinery!R10</f>
        <v>15.292533333333333</v>
      </c>
      <c r="H37" s="306">
        <f>F37*G37</f>
        <v>15.292533333333333</v>
      </c>
      <c r="I37" s="320"/>
      <c r="J37" s="51"/>
      <c r="K37" s="100"/>
      <c r="L37" s="108"/>
      <c r="M37" s="285">
        <f>F37*1.2</f>
        <v>1.2</v>
      </c>
      <c r="N37" s="54">
        <f>HOAssumptions!G$35</f>
        <v>10</v>
      </c>
      <c r="O37" s="108">
        <f>+$N37*$M37</f>
        <v>12</v>
      </c>
      <c r="P37" s="283">
        <f t="shared" si="4"/>
        <v>27.29253333333333</v>
      </c>
      <c r="Q37" s="283"/>
    </row>
    <row r="38" spans="1:17" ht="12.75">
      <c r="A38" s="310"/>
      <c r="B38" s="222" t="s">
        <v>36</v>
      </c>
      <c r="C38" s="99"/>
      <c r="D38" s="99"/>
      <c r="E38" s="224" t="s">
        <v>147</v>
      </c>
      <c r="F38" s="289">
        <v>16</v>
      </c>
      <c r="G38" s="306">
        <f>Machinery!R18</f>
        <v>7.733333333333334</v>
      </c>
      <c r="H38" s="306">
        <f>F38*G38</f>
        <v>123.73333333333335</v>
      </c>
      <c r="I38" s="320"/>
      <c r="J38" s="51"/>
      <c r="K38" s="100"/>
      <c r="L38" s="108"/>
      <c r="M38" s="285">
        <f>F38/4*0.5</f>
        <v>2</v>
      </c>
      <c r="N38" s="54">
        <f>HOAssumptions!G$35</f>
        <v>10</v>
      </c>
      <c r="O38" s="108">
        <f>+$N38*$M38</f>
        <v>20</v>
      </c>
      <c r="P38" s="283">
        <f t="shared" si="4"/>
        <v>143.73333333333335</v>
      </c>
      <c r="Q38" s="283"/>
    </row>
    <row r="39" spans="1:17" ht="12.75">
      <c r="A39" s="308"/>
      <c r="B39" s="222" t="s">
        <v>311</v>
      </c>
      <c r="C39" s="436"/>
      <c r="D39" s="436"/>
      <c r="E39" s="224" t="s">
        <v>308</v>
      </c>
      <c r="F39" s="289">
        <v>8</v>
      </c>
      <c r="G39" s="306">
        <f>Machinery!R$18+Machinery!R$19</f>
        <v>8.138666666666667</v>
      </c>
      <c r="H39" s="306">
        <f>F39*G39</f>
        <v>65.10933333333334</v>
      </c>
      <c r="I39" s="317"/>
      <c r="J39" s="107"/>
      <c r="K39" s="99"/>
      <c r="L39" s="108"/>
      <c r="M39" s="285">
        <v>4</v>
      </c>
      <c r="N39" s="433">
        <f>HOAssumptions!G$35</f>
        <v>10</v>
      </c>
      <c r="O39" s="108">
        <f>M39*N39</f>
        <v>40</v>
      </c>
      <c r="P39" s="283">
        <f>$O39+$L39+$H39</f>
        <v>105.10933333333334</v>
      </c>
      <c r="Q39" s="283"/>
    </row>
    <row r="40" spans="1:17" ht="12.75">
      <c r="A40" s="308"/>
      <c r="B40" s="222"/>
      <c r="C40" s="443" t="s">
        <v>309</v>
      </c>
      <c r="D40" s="443"/>
      <c r="E40" s="444" t="s">
        <v>3</v>
      </c>
      <c r="F40" s="439"/>
      <c r="G40" s="439"/>
      <c r="H40" s="445"/>
      <c r="I40" s="440">
        <v>1.02</v>
      </c>
      <c r="J40" s="442" t="s">
        <v>294</v>
      </c>
      <c r="K40" s="441">
        <f>8*4</f>
        <v>32</v>
      </c>
      <c r="L40" s="440">
        <v>8.16</v>
      </c>
      <c r="M40" s="285"/>
      <c r="N40" s="433"/>
      <c r="O40" s="108"/>
      <c r="P40" s="283">
        <f>$O40+$L40+$H40</f>
        <v>8.16</v>
      </c>
      <c r="Q40" s="283"/>
    </row>
    <row r="41" spans="1:17" ht="12.75">
      <c r="A41" s="308"/>
      <c r="B41" s="436" t="s">
        <v>3</v>
      </c>
      <c r="C41" s="443" t="s">
        <v>310</v>
      </c>
      <c r="D41" s="443"/>
      <c r="E41" s="444"/>
      <c r="F41" s="439"/>
      <c r="G41" s="439"/>
      <c r="H41" s="445"/>
      <c r="I41" s="440">
        <v>0.68</v>
      </c>
      <c r="J41" s="442" t="s">
        <v>294</v>
      </c>
      <c r="K41" s="441">
        <f>20*4</f>
        <v>80</v>
      </c>
      <c r="L41" s="440">
        <v>13.600000000000001</v>
      </c>
      <c r="M41" s="285"/>
      <c r="N41" s="433"/>
      <c r="O41" s="108"/>
      <c r="P41" s="283">
        <f>$O41+$L41+$H41</f>
        <v>13.600000000000001</v>
      </c>
      <c r="Q41" s="283"/>
    </row>
    <row r="42" spans="1:17" ht="12.75">
      <c r="A42" s="310"/>
      <c r="B42" s="222" t="s">
        <v>280</v>
      </c>
      <c r="C42" s="99"/>
      <c r="D42" s="99"/>
      <c r="E42" s="168" t="s">
        <v>275</v>
      </c>
      <c r="F42" s="289">
        <v>0.5</v>
      </c>
      <c r="G42" s="306">
        <f>Machinery!R5+Machinery!R9</f>
        <v>19.3096</v>
      </c>
      <c r="H42" s="306">
        <f>F42*G42</f>
        <v>9.6548</v>
      </c>
      <c r="I42" s="320">
        <v>33.75</v>
      </c>
      <c r="J42" s="51" t="s">
        <v>277</v>
      </c>
      <c r="K42" s="105">
        <v>4</v>
      </c>
      <c r="L42" s="54">
        <f>I42*K42</f>
        <v>135</v>
      </c>
      <c r="M42" s="285">
        <f>F42*1.2</f>
        <v>0.6</v>
      </c>
      <c r="N42" s="54">
        <f>HOAssumptions!G$35</f>
        <v>10</v>
      </c>
      <c r="O42" s="108">
        <f>+$N42*$M42</f>
        <v>6</v>
      </c>
      <c r="P42" s="283">
        <f t="shared" si="4"/>
        <v>150.6548</v>
      </c>
      <c r="Q42" s="283"/>
    </row>
    <row r="43" spans="1:17" ht="12.75">
      <c r="A43" s="310"/>
      <c r="B43" s="222" t="s">
        <v>281</v>
      </c>
      <c r="C43" s="99"/>
      <c r="D43" s="99"/>
      <c r="E43" s="168" t="s">
        <v>275</v>
      </c>
      <c r="F43" s="289">
        <v>0.5</v>
      </c>
      <c r="G43" s="306">
        <f>Machinery!R5+Machinery!R9</f>
        <v>19.3096</v>
      </c>
      <c r="H43" s="306">
        <f>F43*G43</f>
        <v>9.6548</v>
      </c>
      <c r="I43" s="320">
        <v>14.55</v>
      </c>
      <c r="J43" s="51" t="s">
        <v>278</v>
      </c>
      <c r="K43" s="105">
        <v>4</v>
      </c>
      <c r="L43" s="54">
        <f>I43*K43</f>
        <v>58.2</v>
      </c>
      <c r="M43" s="285">
        <f>F43*1.2</f>
        <v>0.6</v>
      </c>
      <c r="N43" s="54">
        <f>HOAssumptions!G$35</f>
        <v>10</v>
      </c>
      <c r="O43" s="108">
        <f>+$N43*$M43</f>
        <v>6</v>
      </c>
      <c r="P43" s="283">
        <f t="shared" si="4"/>
        <v>73.8548</v>
      </c>
      <c r="Q43" s="283"/>
    </row>
    <row r="44" spans="1:17" ht="12.75">
      <c r="A44" s="310"/>
      <c r="B44" s="222" t="s">
        <v>219</v>
      </c>
      <c r="C44" s="99"/>
      <c r="D44" s="99"/>
      <c r="E44" s="222" t="s">
        <v>34</v>
      </c>
      <c r="F44" s="289"/>
      <c r="G44" s="306"/>
      <c r="H44" s="306"/>
      <c r="I44" s="320"/>
      <c r="J44" s="51"/>
      <c r="K44" s="99"/>
      <c r="L44" s="108"/>
      <c r="M44" s="285">
        <v>4</v>
      </c>
      <c r="N44" s="54">
        <f>HOAssumptions!G$35</f>
        <v>10</v>
      </c>
      <c r="O44" s="108">
        <f>M44*N44</f>
        <v>40</v>
      </c>
      <c r="P44" s="283">
        <f t="shared" si="4"/>
        <v>40</v>
      </c>
      <c r="Q44" s="283"/>
    </row>
    <row r="45" spans="1:17" ht="12.75">
      <c r="A45" s="308"/>
      <c r="B45" s="53" t="s">
        <v>46</v>
      </c>
      <c r="C45" s="53"/>
      <c r="D45" s="53"/>
      <c r="E45" s="222"/>
      <c r="F45" s="203"/>
      <c r="G45" s="104"/>
      <c r="H45" s="104"/>
      <c r="I45" s="320">
        <v>75</v>
      </c>
      <c r="J45" s="51" t="s">
        <v>45</v>
      </c>
      <c r="K45" s="105">
        <f>K33</f>
        <v>2</v>
      </c>
      <c r="L45" s="54">
        <f>I45*K45</f>
        <v>150</v>
      </c>
      <c r="M45" s="201"/>
      <c r="N45" s="54"/>
      <c r="O45" s="54"/>
      <c r="P45" s="175">
        <f t="shared" si="4"/>
        <v>150</v>
      </c>
      <c r="Q45" s="175"/>
    </row>
    <row r="46" spans="1:17" ht="12.75">
      <c r="A46" s="309" t="s">
        <v>37</v>
      </c>
      <c r="B46" s="181"/>
      <c r="C46" s="181"/>
      <c r="D46" s="181"/>
      <c r="E46" s="237"/>
      <c r="F46" s="214">
        <f>SUM(F36:F45)</f>
        <v>26</v>
      </c>
      <c r="G46" s="299"/>
      <c r="H46" s="299">
        <f>SUM(H36:H45)</f>
        <v>223.4448</v>
      </c>
      <c r="I46" s="318"/>
      <c r="J46" s="239"/>
      <c r="K46" s="182"/>
      <c r="L46" s="184">
        <f>SUM(L36:L45)</f>
        <v>364.96</v>
      </c>
      <c r="M46" s="206">
        <f>SUM(M36:M45)</f>
        <v>22.400000000000002</v>
      </c>
      <c r="N46" s="184"/>
      <c r="O46" s="184">
        <f>SUM(O36:O45)</f>
        <v>224</v>
      </c>
      <c r="P46" s="208">
        <f>SUM(P36:P45)</f>
        <v>812.4048</v>
      </c>
      <c r="Q46" s="208">
        <f>Q34+P46</f>
        <v>5572.061121333334</v>
      </c>
    </row>
    <row r="47" spans="1:17" ht="12.75">
      <c r="A47" s="307" t="s">
        <v>38</v>
      </c>
      <c r="B47" s="147"/>
      <c r="C47" s="147"/>
      <c r="D47" s="147"/>
      <c r="E47" s="225"/>
      <c r="F47" s="287"/>
      <c r="G47" s="305"/>
      <c r="H47" s="305"/>
      <c r="I47" s="319"/>
      <c r="J47" s="145"/>
      <c r="K47" s="154"/>
      <c r="L47" s="152"/>
      <c r="M47" s="284"/>
      <c r="N47" s="152"/>
      <c r="O47" s="152"/>
      <c r="P47" s="177"/>
      <c r="Q47" s="177"/>
    </row>
    <row r="48" spans="1:17" ht="12.75">
      <c r="A48" s="307"/>
      <c r="B48" s="53" t="s">
        <v>47</v>
      </c>
      <c r="C48" s="53"/>
      <c r="D48" s="53"/>
      <c r="E48" s="224" t="s">
        <v>34</v>
      </c>
      <c r="F48" s="290"/>
      <c r="G48" s="104"/>
      <c r="H48" s="104"/>
      <c r="I48" s="317">
        <v>5</v>
      </c>
      <c r="J48" s="51" t="s">
        <v>98</v>
      </c>
      <c r="K48" s="52">
        <v>1</v>
      </c>
      <c r="L48" s="54">
        <f>+K48*I48</f>
        <v>5</v>
      </c>
      <c r="M48" s="201"/>
      <c r="N48" s="54"/>
      <c r="O48" s="54"/>
      <c r="P48" s="175">
        <f>$O48+$L48+$H48</f>
        <v>5</v>
      </c>
      <c r="Q48" s="175"/>
    </row>
    <row r="49" spans="1:17" ht="12.75">
      <c r="A49" s="307"/>
      <c r="B49" s="53" t="s">
        <v>48</v>
      </c>
      <c r="C49" s="53"/>
      <c r="D49" s="53"/>
      <c r="E49" s="224" t="s">
        <v>44</v>
      </c>
      <c r="F49" s="290">
        <v>8</v>
      </c>
      <c r="G49" s="104">
        <f>Machinery!R8</f>
        <v>0.5333333333333333</v>
      </c>
      <c r="H49" s="104">
        <f>F49*G49</f>
        <v>4.266666666666667</v>
      </c>
      <c r="I49" s="317"/>
      <c r="J49" s="51"/>
      <c r="K49" s="52"/>
      <c r="L49" s="54"/>
      <c r="M49" s="201">
        <v>96</v>
      </c>
      <c r="N49" s="54">
        <f>HOAssumptions!G$35</f>
        <v>10</v>
      </c>
      <c r="O49" s="54">
        <f>$N49*$M49</f>
        <v>960</v>
      </c>
      <c r="P49" s="175">
        <f>O49+H49</f>
        <v>964.2666666666667</v>
      </c>
      <c r="Q49" s="175"/>
    </row>
    <row r="50" spans="1:17" ht="12.75">
      <c r="A50" s="310"/>
      <c r="B50" s="222" t="s">
        <v>220</v>
      </c>
      <c r="C50" s="99"/>
      <c r="D50" s="99"/>
      <c r="E50" s="224" t="s">
        <v>34</v>
      </c>
      <c r="F50" s="289"/>
      <c r="G50" s="306"/>
      <c r="H50" s="306"/>
      <c r="I50" s="320"/>
      <c r="J50" s="51"/>
      <c r="K50" s="100"/>
      <c r="L50" s="108"/>
      <c r="M50" s="285">
        <v>10</v>
      </c>
      <c r="N50" s="54">
        <f>HOAssumptions!G$35</f>
        <v>10</v>
      </c>
      <c r="O50" s="108">
        <f>+$N50*$M50</f>
        <v>100</v>
      </c>
      <c r="P50" s="283">
        <f>$O50+$L50+$H50</f>
        <v>100</v>
      </c>
      <c r="Q50" s="283"/>
    </row>
    <row r="51" spans="1:17" ht="12.75">
      <c r="A51" s="310"/>
      <c r="B51" s="222" t="s">
        <v>216</v>
      </c>
      <c r="C51" s="99"/>
      <c r="D51" s="99"/>
      <c r="E51" s="224" t="s">
        <v>71</v>
      </c>
      <c r="F51" s="289">
        <v>1</v>
      </c>
      <c r="G51" s="306">
        <f>Machinery!R5+Machinery!R10</f>
        <v>15.292533333333333</v>
      </c>
      <c r="H51" s="306">
        <f>F51*G51</f>
        <v>15.292533333333333</v>
      </c>
      <c r="I51" s="320"/>
      <c r="J51" s="51"/>
      <c r="K51" s="100"/>
      <c r="L51" s="108"/>
      <c r="M51" s="285">
        <f>F51*1.2</f>
        <v>1.2</v>
      </c>
      <c r="N51" s="54">
        <f>HOAssumptions!G$35</f>
        <v>10</v>
      </c>
      <c r="O51" s="108">
        <f>+$N51*$M51</f>
        <v>12</v>
      </c>
      <c r="P51" s="283">
        <f>$O51+$L51+$H51</f>
        <v>27.29253333333333</v>
      </c>
      <c r="Q51" s="283"/>
    </row>
    <row r="52" spans="1:17" ht="12.75">
      <c r="A52" s="310"/>
      <c r="B52" s="222" t="s">
        <v>36</v>
      </c>
      <c r="C52" s="99"/>
      <c r="D52" s="99"/>
      <c r="E52" s="224" t="s">
        <v>147</v>
      </c>
      <c r="F52" s="289">
        <v>16</v>
      </c>
      <c r="G52" s="306">
        <f>Machinery!R18</f>
        <v>7.733333333333334</v>
      </c>
      <c r="H52" s="306">
        <f>F52*G52</f>
        <v>123.73333333333335</v>
      </c>
      <c r="I52" s="320"/>
      <c r="J52" s="51"/>
      <c r="K52" s="100"/>
      <c r="L52" s="108"/>
      <c r="M52" s="285">
        <f>F52/4*0.5</f>
        <v>2</v>
      </c>
      <c r="N52" s="54">
        <f>HOAssumptions!G$35</f>
        <v>10</v>
      </c>
      <c r="O52" s="108">
        <f>+$N52*$M52</f>
        <v>20</v>
      </c>
      <c r="P52" s="283">
        <f>$O52+$L52+$H52</f>
        <v>143.73333333333335</v>
      </c>
      <c r="Q52" s="283"/>
    </row>
    <row r="53" spans="1:17" ht="12.75">
      <c r="A53" s="309" t="s">
        <v>39</v>
      </c>
      <c r="B53" s="181"/>
      <c r="C53" s="181"/>
      <c r="D53" s="181"/>
      <c r="E53" s="237"/>
      <c r="F53" s="214">
        <f>SUM(F48:F52)</f>
        <v>25</v>
      </c>
      <c r="G53" s="299"/>
      <c r="H53" s="299">
        <f>SUM(H48:H52)</f>
        <v>143.29253333333335</v>
      </c>
      <c r="I53" s="318"/>
      <c r="J53" s="239"/>
      <c r="K53" s="182"/>
      <c r="L53" s="184">
        <f>SUM(L48:L52)</f>
        <v>5</v>
      </c>
      <c r="M53" s="206">
        <f>SUM(M48:M52)</f>
        <v>109.2</v>
      </c>
      <c r="N53" s="184"/>
      <c r="O53" s="207">
        <f>SUM(O48:O52)</f>
        <v>1092</v>
      </c>
      <c r="P53" s="184">
        <f>SUM(P48:P52)</f>
        <v>1240.2925333333333</v>
      </c>
      <c r="Q53" s="208">
        <f>Q46+P53</f>
        <v>6812.353654666667</v>
      </c>
    </row>
    <row r="54" spans="1:17" ht="12.75">
      <c r="A54" s="307" t="s">
        <v>40</v>
      </c>
      <c r="B54" s="147"/>
      <c r="C54" s="147"/>
      <c r="D54" s="147"/>
      <c r="E54" s="225"/>
      <c r="F54" s="287"/>
      <c r="G54" s="305"/>
      <c r="H54" s="305"/>
      <c r="I54" s="319"/>
      <c r="J54" s="145"/>
      <c r="K54" s="154"/>
      <c r="L54" s="152"/>
      <c r="M54" s="284"/>
      <c r="N54" s="152"/>
      <c r="O54" s="152"/>
      <c r="P54" s="177"/>
      <c r="Q54" s="177"/>
    </row>
    <row r="55" spans="1:17" ht="12.75">
      <c r="A55" s="310"/>
      <c r="B55" s="222" t="s">
        <v>220</v>
      </c>
      <c r="C55" s="99"/>
      <c r="D55" s="99"/>
      <c r="E55" s="224" t="s">
        <v>34</v>
      </c>
      <c r="F55" s="289"/>
      <c r="G55" s="306"/>
      <c r="H55" s="306"/>
      <c r="I55" s="320"/>
      <c r="J55" s="51"/>
      <c r="K55" s="100"/>
      <c r="L55" s="108"/>
      <c r="M55" s="285">
        <v>10</v>
      </c>
      <c r="N55" s="54">
        <f>HOAssumptions!G$35</f>
        <v>10</v>
      </c>
      <c r="O55" s="108">
        <f>+$N55*$M55</f>
        <v>100</v>
      </c>
      <c r="P55" s="283">
        <f aca="true" t="shared" si="5" ref="P55:P60">$O55+$L55+$H55</f>
        <v>100</v>
      </c>
      <c r="Q55" s="283"/>
    </row>
    <row r="56" spans="1:17" ht="12.75">
      <c r="A56" s="310"/>
      <c r="B56" s="222" t="s">
        <v>216</v>
      </c>
      <c r="C56" s="99"/>
      <c r="D56" s="99"/>
      <c r="E56" s="224" t="s">
        <v>71</v>
      </c>
      <c r="F56" s="289">
        <v>1</v>
      </c>
      <c r="G56" s="306">
        <f>Machinery!R5+Machinery!R10</f>
        <v>15.292533333333333</v>
      </c>
      <c r="H56" s="306">
        <f>F56*G56</f>
        <v>15.292533333333333</v>
      </c>
      <c r="I56" s="320"/>
      <c r="J56" s="51"/>
      <c r="K56" s="100"/>
      <c r="L56" s="108"/>
      <c r="M56" s="285">
        <f>F56*1.2</f>
        <v>1.2</v>
      </c>
      <c r="N56" s="54">
        <f>HOAssumptions!G$35</f>
        <v>10</v>
      </c>
      <c r="O56" s="108">
        <f>+$N56*$M56</f>
        <v>12</v>
      </c>
      <c r="P56" s="283">
        <f t="shared" si="5"/>
        <v>27.29253333333333</v>
      </c>
      <c r="Q56" s="283"/>
    </row>
    <row r="57" spans="1:17" ht="12.75">
      <c r="A57" s="308"/>
      <c r="B57" s="222" t="s">
        <v>311</v>
      </c>
      <c r="C57" s="436"/>
      <c r="D57" s="436"/>
      <c r="E57" s="224" t="s">
        <v>308</v>
      </c>
      <c r="F57" s="289">
        <v>8</v>
      </c>
      <c r="G57" s="306">
        <f>Machinery!R$18+Machinery!R$19</f>
        <v>8.138666666666667</v>
      </c>
      <c r="H57" s="306">
        <f>F57*G57</f>
        <v>65.10933333333334</v>
      </c>
      <c r="I57" s="317"/>
      <c r="J57" s="107"/>
      <c r="K57" s="99"/>
      <c r="L57" s="108"/>
      <c r="M57" s="285">
        <v>4</v>
      </c>
      <c r="N57" s="433">
        <f>HOAssumptions!G$35</f>
        <v>10</v>
      </c>
      <c r="O57" s="108">
        <f>M57*N57</f>
        <v>40</v>
      </c>
      <c r="P57" s="283">
        <f t="shared" si="5"/>
        <v>105.10933333333334</v>
      </c>
      <c r="Q57" s="283"/>
    </row>
    <row r="58" spans="1:17" ht="12.75">
      <c r="A58" s="308"/>
      <c r="B58" s="222"/>
      <c r="C58" s="443" t="s">
        <v>309</v>
      </c>
      <c r="D58" s="443"/>
      <c r="E58" s="444" t="s">
        <v>3</v>
      </c>
      <c r="F58" s="439"/>
      <c r="G58" s="439"/>
      <c r="H58" s="445"/>
      <c r="I58" s="440">
        <v>1.02</v>
      </c>
      <c r="J58" s="442" t="s">
        <v>294</v>
      </c>
      <c r="K58" s="441">
        <f>8*4</f>
        <v>32</v>
      </c>
      <c r="L58" s="440">
        <v>8.16</v>
      </c>
      <c r="M58" s="285"/>
      <c r="N58" s="433"/>
      <c r="O58" s="108"/>
      <c r="P58" s="283">
        <f t="shared" si="5"/>
        <v>8.16</v>
      </c>
      <c r="Q58" s="283"/>
    </row>
    <row r="59" spans="1:17" ht="12.75">
      <c r="A59" s="308"/>
      <c r="B59" s="436" t="s">
        <v>3</v>
      </c>
      <c r="C59" s="443" t="s">
        <v>310</v>
      </c>
      <c r="D59" s="443"/>
      <c r="E59" s="444"/>
      <c r="F59" s="439"/>
      <c r="G59" s="439"/>
      <c r="H59" s="445"/>
      <c r="I59" s="440">
        <v>0.68</v>
      </c>
      <c r="J59" s="442" t="s">
        <v>294</v>
      </c>
      <c r="K59" s="441">
        <f>20*4</f>
        <v>80</v>
      </c>
      <c r="L59" s="440">
        <v>13.600000000000001</v>
      </c>
      <c r="M59" s="285"/>
      <c r="N59" s="433"/>
      <c r="O59" s="108"/>
      <c r="P59" s="283">
        <f t="shared" si="5"/>
        <v>13.600000000000001</v>
      </c>
      <c r="Q59" s="283"/>
    </row>
    <row r="60" spans="1:17" ht="12.75">
      <c r="A60" s="310"/>
      <c r="B60" s="222" t="s">
        <v>36</v>
      </c>
      <c r="C60" s="99"/>
      <c r="D60" s="99"/>
      <c r="E60" s="224" t="s">
        <v>147</v>
      </c>
      <c r="F60" s="289">
        <v>16</v>
      </c>
      <c r="G60" s="306">
        <f>Machinery!R18</f>
        <v>7.733333333333334</v>
      </c>
      <c r="H60" s="306">
        <f>F60*G60</f>
        <v>123.73333333333335</v>
      </c>
      <c r="I60" s="320"/>
      <c r="J60" s="51"/>
      <c r="K60" s="100"/>
      <c r="L60" s="108"/>
      <c r="M60" s="285">
        <f>F60/4*0.5</f>
        <v>2</v>
      </c>
      <c r="N60" s="54">
        <f>HOAssumptions!G$35</f>
        <v>10</v>
      </c>
      <c r="O60" s="108">
        <f>+$N60*$M60</f>
        <v>20</v>
      </c>
      <c r="P60" s="283">
        <f t="shared" si="5"/>
        <v>143.73333333333335</v>
      </c>
      <c r="Q60" s="283"/>
    </row>
    <row r="61" spans="1:17" ht="12.75">
      <c r="A61" s="309" t="s">
        <v>41</v>
      </c>
      <c r="B61" s="181"/>
      <c r="C61" s="181"/>
      <c r="D61" s="181"/>
      <c r="E61" s="237"/>
      <c r="F61" s="214">
        <f>SUM(F55:F60)</f>
        <v>25</v>
      </c>
      <c r="G61" s="299"/>
      <c r="H61" s="299">
        <f>SUM(H55:H60)</f>
        <v>204.13520000000003</v>
      </c>
      <c r="I61" s="318"/>
      <c r="J61" s="239"/>
      <c r="K61" s="182"/>
      <c r="L61" s="184">
        <f>SUM(L55:L60)</f>
        <v>21.76</v>
      </c>
      <c r="M61" s="206">
        <f>SUM(M55:M60)</f>
        <v>17.2</v>
      </c>
      <c r="N61" s="184"/>
      <c r="O61" s="184">
        <f>SUM(O55:O60)</f>
        <v>172</v>
      </c>
      <c r="P61" s="208">
        <f>SUM(P55:P60)</f>
        <v>397.8952</v>
      </c>
      <c r="Q61" s="208">
        <f>Q53+P61</f>
        <v>7210.248854666667</v>
      </c>
    </row>
    <row r="62" spans="1:17" ht="12.75">
      <c r="A62" s="311" t="s">
        <v>42</v>
      </c>
      <c r="B62" s="219"/>
      <c r="C62" s="219"/>
      <c r="D62" s="219"/>
      <c r="E62" s="225"/>
      <c r="F62" s="254"/>
      <c r="G62" s="223"/>
      <c r="H62" s="223"/>
      <c r="I62" s="321"/>
      <c r="J62" s="145"/>
      <c r="K62" s="220"/>
      <c r="L62" s="221"/>
      <c r="M62" s="286"/>
      <c r="N62" s="221"/>
      <c r="O62" s="221"/>
      <c r="P62" s="255"/>
      <c r="Q62" s="255" t="s">
        <v>3</v>
      </c>
    </row>
    <row r="63" spans="1:17" ht="12.75">
      <c r="A63" s="310"/>
      <c r="B63" s="222" t="s">
        <v>216</v>
      </c>
      <c r="C63" s="99"/>
      <c r="D63" s="99"/>
      <c r="E63" s="224" t="s">
        <v>71</v>
      </c>
      <c r="F63" s="289">
        <v>1</v>
      </c>
      <c r="G63" s="306">
        <f>Machinery!R5+Machinery!R10</f>
        <v>15.292533333333333</v>
      </c>
      <c r="H63" s="306">
        <f>F63*G63</f>
        <v>15.292533333333333</v>
      </c>
      <c r="I63" s="320"/>
      <c r="J63" s="51"/>
      <c r="K63" s="100"/>
      <c r="L63" s="108"/>
      <c r="M63" s="285">
        <f>F63*1.2</f>
        <v>1.2</v>
      </c>
      <c r="N63" s="54">
        <f>HOAssumptions!G$35</f>
        <v>10</v>
      </c>
      <c r="O63" s="108">
        <f>+$N63*$M63</f>
        <v>12</v>
      </c>
      <c r="P63" s="283">
        <f>$O63+$L63+$H63</f>
        <v>27.29253333333333</v>
      </c>
      <c r="Q63" s="283"/>
    </row>
    <row r="64" spans="1:17" ht="12.75">
      <c r="A64" s="310"/>
      <c r="B64" s="222" t="s">
        <v>36</v>
      </c>
      <c r="C64" s="99"/>
      <c r="D64" s="99"/>
      <c r="E64" s="224" t="s">
        <v>147</v>
      </c>
      <c r="F64" s="289">
        <v>16</v>
      </c>
      <c r="G64" s="306">
        <f>Machinery!R18</f>
        <v>7.733333333333334</v>
      </c>
      <c r="H64" s="306">
        <f>F64*G64</f>
        <v>123.73333333333335</v>
      </c>
      <c r="I64" s="320"/>
      <c r="J64" s="51"/>
      <c r="K64" s="100"/>
      <c r="L64" s="108"/>
      <c r="M64" s="285">
        <f>F64/4*0.5</f>
        <v>2</v>
      </c>
      <c r="N64" s="54">
        <f>HOAssumptions!G$35</f>
        <v>10</v>
      </c>
      <c r="O64" s="108">
        <f>+$N64*$M64</f>
        <v>20</v>
      </c>
      <c r="P64" s="283">
        <f>$O64+$L64+$H64</f>
        <v>143.73333333333335</v>
      </c>
      <c r="Q64" s="283"/>
    </row>
    <row r="65" spans="1:17" ht="12.75">
      <c r="A65" s="309" t="s">
        <v>43</v>
      </c>
      <c r="B65" s="236"/>
      <c r="C65" s="236"/>
      <c r="D65" s="236"/>
      <c r="E65" s="237"/>
      <c r="F65" s="313">
        <f>SUM(F63:F64)</f>
        <v>17</v>
      </c>
      <c r="G65" s="245"/>
      <c r="H65" s="245">
        <f>SUM(H63:H64)</f>
        <v>139.02586666666667</v>
      </c>
      <c r="I65" s="322"/>
      <c r="J65" s="239"/>
      <c r="K65" s="238"/>
      <c r="L65" s="241">
        <f>SUM(L63:L64)</f>
        <v>0</v>
      </c>
      <c r="M65" s="313">
        <f>SUM(M63:M64)</f>
        <v>3.2</v>
      </c>
      <c r="N65" s="241"/>
      <c r="O65" s="241">
        <f>SUM(O63:O64)</f>
        <v>32</v>
      </c>
      <c r="P65" s="215">
        <f>SUM(P63:P64)</f>
        <v>171.02586666666667</v>
      </c>
      <c r="Q65" s="215">
        <f>Q61+P65</f>
        <v>7381.274721333334</v>
      </c>
    </row>
    <row r="66" spans="1:17" ht="12.75">
      <c r="A66" s="230" t="s">
        <v>15</v>
      </c>
      <c r="B66" s="219"/>
      <c r="C66" s="219"/>
      <c r="D66" s="219"/>
      <c r="E66" s="225"/>
      <c r="F66" s="254"/>
      <c r="G66" s="223"/>
      <c r="H66" s="223"/>
      <c r="I66" s="321"/>
      <c r="J66" s="145"/>
      <c r="K66" s="220"/>
      <c r="L66" s="221"/>
      <c r="M66" s="286"/>
      <c r="N66" s="221"/>
      <c r="O66" s="221"/>
      <c r="P66" s="255"/>
      <c r="Q66" s="255" t="s">
        <v>3</v>
      </c>
    </row>
    <row r="67" spans="1:17" ht="12.75">
      <c r="A67" s="310"/>
      <c r="B67" s="222" t="s">
        <v>221</v>
      </c>
      <c r="C67" s="99"/>
      <c r="D67" s="99"/>
      <c r="E67" s="224" t="s">
        <v>29</v>
      </c>
      <c r="F67" s="289"/>
      <c r="G67" s="306"/>
      <c r="H67" s="306"/>
      <c r="I67" s="320"/>
      <c r="J67" s="51"/>
      <c r="K67" s="100"/>
      <c r="L67" s="108"/>
      <c r="M67" s="285">
        <v>26</v>
      </c>
      <c r="N67" s="54">
        <f>HOAssumptions!G$35</f>
        <v>10</v>
      </c>
      <c r="O67" s="108">
        <f>$M67*$N67</f>
        <v>260</v>
      </c>
      <c r="P67" s="283">
        <f>$O67+$L67+$H67</f>
        <v>260</v>
      </c>
      <c r="Q67" s="283"/>
    </row>
    <row r="68" spans="1:17" ht="12.75">
      <c r="A68" s="310"/>
      <c r="B68" s="222" t="s">
        <v>216</v>
      </c>
      <c r="C68" s="99"/>
      <c r="D68" s="99"/>
      <c r="E68" s="224" t="s">
        <v>71</v>
      </c>
      <c r="F68" s="289">
        <v>1</v>
      </c>
      <c r="G68" s="306">
        <f>Machinery!R5+Machinery!R10</f>
        <v>15.292533333333333</v>
      </c>
      <c r="H68" s="306">
        <f>F68*G68</f>
        <v>15.292533333333333</v>
      </c>
      <c r="I68" s="320"/>
      <c r="J68" s="51"/>
      <c r="K68" s="100"/>
      <c r="L68" s="108"/>
      <c r="M68" s="285">
        <f>F68*1.2</f>
        <v>1.2</v>
      </c>
      <c r="N68" s="54">
        <f>HOAssumptions!G$35</f>
        <v>10</v>
      </c>
      <c r="O68" s="108">
        <f>+$N68*$M68</f>
        <v>12</v>
      </c>
      <c r="P68" s="283">
        <f>$O68+$L68+$H68</f>
        <v>27.29253333333333</v>
      </c>
      <c r="Q68" s="283"/>
    </row>
    <row r="69" spans="1:17" ht="12.75">
      <c r="A69" s="310"/>
      <c r="B69" s="222" t="s">
        <v>36</v>
      </c>
      <c r="C69" s="99"/>
      <c r="D69" s="99"/>
      <c r="E69" s="224" t="s">
        <v>147</v>
      </c>
      <c r="F69" s="289">
        <v>16</v>
      </c>
      <c r="G69" s="306">
        <f>Machinery!R18</f>
        <v>7.733333333333334</v>
      </c>
      <c r="H69" s="306">
        <f>F69*G69</f>
        <v>123.73333333333335</v>
      </c>
      <c r="I69" s="320"/>
      <c r="J69" s="51"/>
      <c r="K69" s="100"/>
      <c r="L69" s="108"/>
      <c r="M69" s="285">
        <f>F69/4*0.5</f>
        <v>2</v>
      </c>
      <c r="N69" s="54">
        <f>HOAssumptions!G$35</f>
        <v>10</v>
      </c>
      <c r="O69" s="108">
        <f>+$N69*$M69</f>
        <v>20</v>
      </c>
      <c r="P69" s="283">
        <f>$O69+$L69+$H69</f>
        <v>143.73333333333335</v>
      </c>
      <c r="Q69" s="283"/>
    </row>
    <row r="70" spans="1:17" ht="12.75">
      <c r="A70" s="309" t="s">
        <v>153</v>
      </c>
      <c r="B70" s="236"/>
      <c r="C70" s="236"/>
      <c r="D70" s="236"/>
      <c r="E70" s="237"/>
      <c r="F70" s="313">
        <f>SUM(F67:F69)</f>
        <v>17</v>
      </c>
      <c r="G70" s="245"/>
      <c r="H70" s="245">
        <f>SUM(H67:H69)</f>
        <v>139.02586666666667</v>
      </c>
      <c r="I70" s="322"/>
      <c r="J70" s="244"/>
      <c r="K70" s="243"/>
      <c r="L70" s="241">
        <f>SUM(L67:L69)</f>
        <v>0</v>
      </c>
      <c r="M70" s="313">
        <f>SUM(M67:M69)</f>
        <v>29.2</v>
      </c>
      <c r="N70" s="241"/>
      <c r="O70" s="241">
        <f>SUM(O67:O69)</f>
        <v>292</v>
      </c>
      <c r="P70" s="215">
        <f>SUM(P67:P69)</f>
        <v>431.0258666666667</v>
      </c>
      <c r="Q70" s="215">
        <f>Q65+P70</f>
        <v>7812.300588000001</v>
      </c>
    </row>
    <row r="71" spans="1:17" ht="12.75">
      <c r="A71" s="307" t="s">
        <v>0</v>
      </c>
      <c r="B71" s="147"/>
      <c r="C71" s="147"/>
      <c r="D71" s="147"/>
      <c r="E71" s="225"/>
      <c r="F71" s="287"/>
      <c r="G71" s="305"/>
      <c r="H71" s="305"/>
      <c r="I71" s="319"/>
      <c r="J71" s="145"/>
      <c r="K71" s="154"/>
      <c r="L71" s="152"/>
      <c r="M71" s="284"/>
      <c r="N71" s="152"/>
      <c r="O71" s="152"/>
      <c r="P71" s="177"/>
      <c r="Q71" s="177" t="s">
        <v>3</v>
      </c>
    </row>
    <row r="72" spans="1:17" ht="12.75">
      <c r="A72" s="307"/>
      <c r="B72" s="222" t="s">
        <v>221</v>
      </c>
      <c r="C72" s="99"/>
      <c r="D72" s="99"/>
      <c r="E72" s="224" t="s">
        <v>29</v>
      </c>
      <c r="F72" s="289"/>
      <c r="G72" s="306"/>
      <c r="H72" s="306"/>
      <c r="I72" s="320"/>
      <c r="J72" s="51"/>
      <c r="K72" s="100"/>
      <c r="L72" s="108"/>
      <c r="M72" s="285">
        <v>26</v>
      </c>
      <c r="N72" s="54">
        <f>HOAssumptions!G$35</f>
        <v>10</v>
      </c>
      <c r="O72" s="108">
        <f>$M72*$N72</f>
        <v>260</v>
      </c>
      <c r="P72" s="283">
        <f>$O72+$L72+$H72</f>
        <v>260</v>
      </c>
      <c r="Q72" s="177"/>
    </row>
    <row r="73" spans="1:17" ht="12.75">
      <c r="A73" s="307"/>
      <c r="B73" s="222" t="s">
        <v>282</v>
      </c>
      <c r="C73" s="99"/>
      <c r="D73" s="99"/>
      <c r="E73" s="168" t="s">
        <v>275</v>
      </c>
      <c r="F73" s="289">
        <v>0.5</v>
      </c>
      <c r="G73" s="306">
        <f>Machinery!R5+Machinery!R9</f>
        <v>19.3096</v>
      </c>
      <c r="H73" s="306">
        <f>F73*G73</f>
        <v>9.6548</v>
      </c>
      <c r="I73" s="320">
        <v>24</v>
      </c>
      <c r="J73" s="51" t="s">
        <v>279</v>
      </c>
      <c r="K73" s="105">
        <v>4</v>
      </c>
      <c r="L73" s="54">
        <f>I73*K73</f>
        <v>96</v>
      </c>
      <c r="M73" s="285">
        <f>F73*1.2</f>
        <v>0.6</v>
      </c>
      <c r="N73" s="54">
        <f>HOAssumptions!G$35</f>
        <v>10</v>
      </c>
      <c r="O73" s="108">
        <f>+$N73*$M73</f>
        <v>6</v>
      </c>
      <c r="P73" s="283">
        <f>$O73+$L73+$H73</f>
        <v>111.6548</v>
      </c>
      <c r="Q73" s="177"/>
    </row>
    <row r="74" spans="1:17" ht="12.75">
      <c r="A74" s="307"/>
      <c r="B74" s="53" t="s">
        <v>49</v>
      </c>
      <c r="C74" s="53"/>
      <c r="D74" s="53"/>
      <c r="E74" s="224" t="s">
        <v>34</v>
      </c>
      <c r="F74" s="290"/>
      <c r="G74" s="104"/>
      <c r="H74" s="104"/>
      <c r="I74" s="317"/>
      <c r="J74" s="51"/>
      <c r="K74" s="52"/>
      <c r="L74" s="54"/>
      <c r="M74" s="201">
        <v>20</v>
      </c>
      <c r="N74" s="54">
        <f>HOAssumptions!G$35</f>
        <v>10</v>
      </c>
      <c r="O74" s="54">
        <f>M74*N74</f>
        <v>200</v>
      </c>
      <c r="P74" s="175">
        <f>O74</f>
        <v>200</v>
      </c>
      <c r="Q74" s="175"/>
    </row>
    <row r="75" spans="1:17" ht="12.75">
      <c r="A75" s="309" t="s">
        <v>1</v>
      </c>
      <c r="B75" s="181"/>
      <c r="C75" s="181"/>
      <c r="D75" s="181"/>
      <c r="E75" s="237"/>
      <c r="F75" s="313">
        <f>SUM(F72:F74)</f>
        <v>0.5</v>
      </c>
      <c r="G75" s="245"/>
      <c r="H75" s="245">
        <f>SUM(H72:H74)</f>
        <v>9.6548</v>
      </c>
      <c r="I75" s="318"/>
      <c r="J75" s="239"/>
      <c r="K75" s="182"/>
      <c r="L75" s="184">
        <f>SUM(L72:L74)</f>
        <v>96</v>
      </c>
      <c r="M75" s="206">
        <f>SUM(M72:M74)</f>
        <v>46.6</v>
      </c>
      <c r="N75" s="184"/>
      <c r="O75" s="184">
        <f>SUM(O72:O74)</f>
        <v>466</v>
      </c>
      <c r="P75" s="208">
        <f>SUM(P72:P74)</f>
        <v>571.6548</v>
      </c>
      <c r="Q75" s="208">
        <f>Q70+P75</f>
        <v>8383.955388</v>
      </c>
    </row>
    <row r="76" spans="1:17" ht="12.75">
      <c r="A76" s="307" t="s">
        <v>233</v>
      </c>
      <c r="B76" s="99"/>
      <c r="C76" s="99"/>
      <c r="D76" s="99"/>
      <c r="E76" s="249"/>
      <c r="F76" s="220"/>
      <c r="G76" s="223"/>
      <c r="H76" s="223"/>
      <c r="I76" s="321"/>
      <c r="J76" s="226"/>
      <c r="K76" s="220"/>
      <c r="L76" s="253"/>
      <c r="M76" s="220"/>
      <c r="N76" s="221"/>
      <c r="O76" s="221"/>
      <c r="P76" s="255"/>
      <c r="Q76" s="255"/>
    </row>
    <row r="77" spans="1:17" ht="12.75">
      <c r="A77" s="307"/>
      <c r="B77" s="222" t="s">
        <v>226</v>
      </c>
      <c r="C77" s="99"/>
      <c r="D77" s="99"/>
      <c r="E77" s="249"/>
      <c r="F77" s="220"/>
      <c r="G77" s="223"/>
      <c r="H77" s="223"/>
      <c r="I77" s="317">
        <v>2.2</v>
      </c>
      <c r="J77" s="315" t="s">
        <v>227</v>
      </c>
      <c r="K77" s="100">
        <f>Yields!D15</f>
        <v>1777.7777777777776</v>
      </c>
      <c r="L77" s="202">
        <f>I77*K77</f>
        <v>3911.111111111111</v>
      </c>
      <c r="M77" s="316">
        <f>K77</f>
        <v>1777.7777777777776</v>
      </c>
      <c r="N77" s="108">
        <f>HOAssumptions!G$38</f>
        <v>3.5</v>
      </c>
      <c r="O77" s="54">
        <f aca="true" t="shared" si="6" ref="O77:O83">+$N77*$M77</f>
        <v>6222.222222222222</v>
      </c>
      <c r="P77" s="175">
        <f aca="true" t="shared" si="7" ref="P77:P83">$O77+$L77+$H77</f>
        <v>10133.333333333332</v>
      </c>
      <c r="Q77" s="255"/>
    </row>
    <row r="78" spans="1:17" ht="12.75">
      <c r="A78" s="307"/>
      <c r="B78" s="222" t="s">
        <v>228</v>
      </c>
      <c r="C78" s="99"/>
      <c r="D78" s="99"/>
      <c r="E78" s="249"/>
      <c r="F78" s="220"/>
      <c r="G78" s="223"/>
      <c r="H78" s="223"/>
      <c r="I78" s="317">
        <v>1</v>
      </c>
      <c r="J78" s="315" t="s">
        <v>229</v>
      </c>
      <c r="K78" s="100">
        <v>150</v>
      </c>
      <c r="L78" s="202">
        <f>I78*K78</f>
        <v>150</v>
      </c>
      <c r="M78" s="100">
        <v>60</v>
      </c>
      <c r="N78" s="54">
        <f>HOAssumptions!G$35</f>
        <v>10</v>
      </c>
      <c r="O78" s="54">
        <f t="shared" si="6"/>
        <v>600</v>
      </c>
      <c r="P78" s="175">
        <f t="shared" si="7"/>
        <v>750</v>
      </c>
      <c r="Q78" s="255"/>
    </row>
    <row r="79" spans="1:17" ht="12.75">
      <c r="A79" s="307"/>
      <c r="B79" s="222" t="s">
        <v>230</v>
      </c>
      <c r="C79" s="99"/>
      <c r="D79" s="99"/>
      <c r="E79" s="249"/>
      <c r="F79" s="220"/>
      <c r="G79" s="223"/>
      <c r="H79" s="223"/>
      <c r="I79" s="321"/>
      <c r="J79" s="226"/>
      <c r="K79" s="220"/>
      <c r="L79" s="253"/>
      <c r="M79" s="316">
        <f>K77</f>
        <v>1777.7777777777776</v>
      </c>
      <c r="N79" s="108">
        <f>HOAssumptions!G$39</f>
        <v>0.5</v>
      </c>
      <c r="O79" s="54">
        <f t="shared" si="6"/>
        <v>888.8888888888888</v>
      </c>
      <c r="P79" s="175">
        <f t="shared" si="7"/>
        <v>888.8888888888888</v>
      </c>
      <c r="Q79" s="255"/>
    </row>
    <row r="80" spans="1:17" ht="12.75">
      <c r="A80" s="307"/>
      <c r="B80" s="222" t="s">
        <v>266</v>
      </c>
      <c r="C80" s="99"/>
      <c r="D80" s="99"/>
      <c r="E80" s="249"/>
      <c r="I80" s="321"/>
      <c r="J80" s="226"/>
      <c r="K80" s="220"/>
      <c r="L80" s="253"/>
      <c r="M80" s="316">
        <f>K77</f>
        <v>1777.7777777777776</v>
      </c>
      <c r="N80" s="108">
        <f>HOAssumptions!G$40</f>
        <v>0.25</v>
      </c>
      <c r="O80" s="54">
        <f t="shared" si="6"/>
        <v>444.4444444444444</v>
      </c>
      <c r="P80" s="175">
        <f t="shared" si="7"/>
        <v>444.4444444444444</v>
      </c>
      <c r="Q80" s="255"/>
    </row>
    <row r="81" spans="1:17" ht="12.75">
      <c r="A81" s="307"/>
      <c r="B81" s="222" t="s">
        <v>265</v>
      </c>
      <c r="C81" s="99"/>
      <c r="D81" s="99"/>
      <c r="E81" s="249" t="s">
        <v>267</v>
      </c>
      <c r="F81" s="100">
        <v>200</v>
      </c>
      <c r="G81" s="306">
        <f>Machinery!R17</f>
        <v>5.816071428571428</v>
      </c>
      <c r="H81" s="306">
        <f>F81*G81</f>
        <v>1163.2142857142856</v>
      </c>
      <c r="I81" s="321"/>
      <c r="J81" s="226"/>
      <c r="K81" s="220"/>
      <c r="L81" s="253"/>
      <c r="M81" s="9"/>
      <c r="N81" s="9"/>
      <c r="O81" s="9"/>
      <c r="P81" s="175">
        <f t="shared" si="7"/>
        <v>1163.2142857142856</v>
      </c>
      <c r="Q81" s="255"/>
    </row>
    <row r="82" spans="1:17" ht="12.75">
      <c r="A82" s="307"/>
      <c r="B82" s="222" t="s">
        <v>269</v>
      </c>
      <c r="C82" s="99"/>
      <c r="D82" s="99"/>
      <c r="E82" s="249" t="s">
        <v>231</v>
      </c>
      <c r="F82" s="100">
        <v>18</v>
      </c>
      <c r="G82" s="306">
        <f>Machinery!R20</f>
        <v>12.212962962962964</v>
      </c>
      <c r="H82" s="306">
        <f>F82*G82</f>
        <v>219.83333333333334</v>
      </c>
      <c r="I82" s="321"/>
      <c r="J82" s="226"/>
      <c r="K82" s="220"/>
      <c r="L82" s="253"/>
      <c r="M82" s="100">
        <v>36</v>
      </c>
      <c r="N82" s="54">
        <f>HOAssumptions!G$35</f>
        <v>10</v>
      </c>
      <c r="O82" s="54">
        <f t="shared" si="6"/>
        <v>360</v>
      </c>
      <c r="P82" s="175">
        <f t="shared" si="7"/>
        <v>579.8333333333334</v>
      </c>
      <c r="Q82" s="255"/>
    </row>
    <row r="83" spans="1:17" ht="12.75">
      <c r="A83" s="307"/>
      <c r="B83" s="222" t="s">
        <v>268</v>
      </c>
      <c r="C83" s="99"/>
      <c r="D83" s="99"/>
      <c r="E83" s="249" t="s">
        <v>237</v>
      </c>
      <c r="F83" s="100">
        <v>54</v>
      </c>
      <c r="G83" s="306">
        <f>Machinery!R21</f>
        <v>15.238333333333333</v>
      </c>
      <c r="H83" s="306">
        <f>F83*G83</f>
        <v>822.87</v>
      </c>
      <c r="I83" s="321"/>
      <c r="J83" s="226"/>
      <c r="K83" s="220"/>
      <c r="L83" s="253"/>
      <c r="M83" s="100">
        <v>54</v>
      </c>
      <c r="N83" s="54">
        <f>HOAssumptions!G$35</f>
        <v>10</v>
      </c>
      <c r="O83" s="54">
        <f t="shared" si="6"/>
        <v>540</v>
      </c>
      <c r="P83" s="175">
        <f t="shared" si="7"/>
        <v>1362.87</v>
      </c>
      <c r="Q83" s="255"/>
    </row>
    <row r="84" spans="1:17" ht="12.75">
      <c r="A84" s="309" t="s">
        <v>232</v>
      </c>
      <c r="B84" s="236"/>
      <c r="C84" s="236"/>
      <c r="D84" s="236"/>
      <c r="E84" s="250"/>
      <c r="F84" s="240">
        <f>SUM(F77:F83)</f>
        <v>272</v>
      </c>
      <c r="G84" s="245"/>
      <c r="H84" s="245">
        <f>SUM(H77:H83)</f>
        <v>2205.9176190476187</v>
      </c>
      <c r="I84" s="322"/>
      <c r="J84" s="244"/>
      <c r="K84" s="240"/>
      <c r="L84" s="241">
        <f>SUM(L77:L83)</f>
        <v>4061.111111111111</v>
      </c>
      <c r="M84" s="323">
        <f>M78+M82+M83+M77/4*3</f>
        <v>1483.3333333333333</v>
      </c>
      <c r="N84" s="241"/>
      <c r="O84" s="241">
        <f>SUM(O77:O83)</f>
        <v>9055.555555555555</v>
      </c>
      <c r="P84" s="215">
        <f>SUM(P77:P83)</f>
        <v>15322.584285714285</v>
      </c>
      <c r="Q84" s="215">
        <f>Q75+P84</f>
        <v>23706.539673714287</v>
      </c>
    </row>
    <row r="85" spans="1:17" ht="12.75">
      <c r="A85" s="200" t="s">
        <v>196</v>
      </c>
      <c r="B85" s="53"/>
      <c r="C85" s="53"/>
      <c r="D85" s="53"/>
      <c r="E85" s="52"/>
      <c r="F85" s="201"/>
      <c r="G85" s="54"/>
      <c r="H85" s="54"/>
      <c r="I85" s="263"/>
      <c r="J85" s="291"/>
      <c r="K85" s="52"/>
      <c r="L85" s="202"/>
      <c r="M85" s="52"/>
      <c r="N85" s="54"/>
      <c r="O85" s="54"/>
      <c r="P85" s="175"/>
      <c r="Q85" s="177" t="s">
        <v>3</v>
      </c>
    </row>
    <row r="86" spans="1:17" ht="12.75">
      <c r="A86" s="203"/>
      <c r="B86" s="52" t="s">
        <v>198</v>
      </c>
      <c r="C86" s="53"/>
      <c r="D86" s="53"/>
      <c r="E86" s="52"/>
      <c r="F86" s="201"/>
      <c r="G86" s="54"/>
      <c r="H86" s="54"/>
      <c r="I86" s="263">
        <f>HOAssumptions!G55</f>
        <v>100</v>
      </c>
      <c r="J86" s="291" t="s">
        <v>98</v>
      </c>
      <c r="K86" s="52">
        <v>1</v>
      </c>
      <c r="L86" s="202">
        <f aca="true" t="shared" si="8" ref="L86:L91">$I86*K86</f>
        <v>100</v>
      </c>
      <c r="M86" s="52"/>
      <c r="N86" s="54"/>
      <c r="O86" s="54"/>
      <c r="P86" s="175">
        <f aca="true" t="shared" si="9" ref="P86:P92">$L86+$H86+$O86</f>
        <v>100</v>
      </c>
      <c r="Q86" s="175"/>
    </row>
    <row r="87" spans="1:17" ht="12.75">
      <c r="A87" s="203"/>
      <c r="B87" s="52" t="s">
        <v>200</v>
      </c>
      <c r="C87" s="53"/>
      <c r="D87" s="53"/>
      <c r="E87" s="52"/>
      <c r="F87" s="201"/>
      <c r="G87" s="54"/>
      <c r="H87" s="54"/>
      <c r="I87" s="263">
        <f>HOAssumptions!G56</f>
        <v>40</v>
      </c>
      <c r="J87" s="291" t="s">
        <v>98</v>
      </c>
      <c r="K87" s="52">
        <v>1</v>
      </c>
      <c r="L87" s="202">
        <f t="shared" si="8"/>
        <v>40</v>
      </c>
      <c r="M87" s="52"/>
      <c r="N87" s="54"/>
      <c r="O87" s="54"/>
      <c r="P87" s="175">
        <f t="shared" si="9"/>
        <v>40</v>
      </c>
      <c r="Q87" s="175"/>
    </row>
    <row r="88" spans="1:17" ht="12.75">
      <c r="A88" s="203"/>
      <c r="B88" s="52" t="s">
        <v>201</v>
      </c>
      <c r="C88" s="53"/>
      <c r="D88" s="53"/>
      <c r="E88" s="52"/>
      <c r="F88" s="201"/>
      <c r="G88" s="54"/>
      <c r="H88" s="54"/>
      <c r="I88" s="263">
        <f>HOAssumptions!G57</f>
        <v>0</v>
      </c>
      <c r="J88" s="291" t="s">
        <v>98</v>
      </c>
      <c r="K88" s="52">
        <v>1</v>
      </c>
      <c r="L88" s="202">
        <f t="shared" si="8"/>
        <v>0</v>
      </c>
      <c r="M88" s="52"/>
      <c r="N88" s="54"/>
      <c r="O88" s="54"/>
      <c r="P88" s="175">
        <f t="shared" si="9"/>
        <v>0</v>
      </c>
      <c r="Q88" s="175"/>
    </row>
    <row r="89" spans="1:17" ht="12.75">
      <c r="A89" s="203"/>
      <c r="B89" s="52" t="s">
        <v>222</v>
      </c>
      <c r="C89" s="53"/>
      <c r="D89" s="53"/>
      <c r="E89" s="168"/>
      <c r="F89" s="52"/>
      <c r="G89" s="54"/>
      <c r="H89" s="54"/>
      <c r="I89" s="263">
        <v>830</v>
      </c>
      <c r="J89" s="291" t="s">
        <v>98</v>
      </c>
      <c r="K89" s="52">
        <v>1</v>
      </c>
      <c r="L89" s="202">
        <f t="shared" si="8"/>
        <v>830</v>
      </c>
      <c r="M89" s="52"/>
      <c r="N89" s="54"/>
      <c r="O89" s="54"/>
      <c r="P89" s="175">
        <f t="shared" si="9"/>
        <v>830</v>
      </c>
      <c r="Q89" s="175"/>
    </row>
    <row r="90" spans="1:17" ht="12.75">
      <c r="A90" s="203"/>
      <c r="B90" s="52" t="s">
        <v>202</v>
      </c>
      <c r="C90" s="53"/>
      <c r="D90" s="53"/>
      <c r="E90" s="168"/>
      <c r="F90" s="52"/>
      <c r="G90" s="103"/>
      <c r="H90" s="103"/>
      <c r="I90" s="263">
        <f>HOAssumptions!G58</f>
        <v>400</v>
      </c>
      <c r="J90" s="51" t="s">
        <v>98</v>
      </c>
      <c r="K90" s="52">
        <v>1</v>
      </c>
      <c r="L90" s="264">
        <f t="shared" si="8"/>
        <v>400</v>
      </c>
      <c r="M90" s="52"/>
      <c r="N90" s="54"/>
      <c r="O90" s="54"/>
      <c r="P90" s="175">
        <f t="shared" si="9"/>
        <v>400</v>
      </c>
      <c r="Q90" s="175"/>
    </row>
    <row r="91" spans="1:17" ht="12.75">
      <c r="A91" s="203"/>
      <c r="B91" s="52" t="s">
        <v>203</v>
      </c>
      <c r="C91" s="53"/>
      <c r="D91" s="53"/>
      <c r="E91" s="168"/>
      <c r="F91" s="52"/>
      <c r="G91" s="103"/>
      <c r="H91" s="103"/>
      <c r="I91" s="263">
        <f>HOAssumptions!G59</f>
        <v>400</v>
      </c>
      <c r="J91" s="51" t="s">
        <v>98</v>
      </c>
      <c r="K91" s="52">
        <v>1</v>
      </c>
      <c r="L91" s="264">
        <f t="shared" si="8"/>
        <v>400</v>
      </c>
      <c r="M91" s="52"/>
      <c r="N91" s="54"/>
      <c r="O91" s="54"/>
      <c r="P91" s="175">
        <f t="shared" si="9"/>
        <v>400</v>
      </c>
      <c r="Q91" s="175"/>
    </row>
    <row r="92" spans="1:17" ht="12.75">
      <c r="A92" s="203"/>
      <c r="B92" s="52" t="s">
        <v>290</v>
      </c>
      <c r="C92" s="53"/>
      <c r="D92" s="53"/>
      <c r="E92" s="52"/>
      <c r="F92" s="201"/>
      <c r="G92" s="103"/>
      <c r="H92" s="103"/>
      <c r="I92" s="263">
        <f>HOAssumptions!G60</f>
        <v>1000</v>
      </c>
      <c r="J92" s="51" t="s">
        <v>98</v>
      </c>
      <c r="K92" s="52">
        <v>1</v>
      </c>
      <c r="L92" s="264">
        <f>$I92*K92</f>
        <v>1000</v>
      </c>
      <c r="M92" s="52"/>
      <c r="N92" s="54"/>
      <c r="O92" s="54"/>
      <c r="P92" s="175">
        <f t="shared" si="9"/>
        <v>1000</v>
      </c>
      <c r="Q92" s="175"/>
    </row>
    <row r="93" spans="1:17" ht="12.75">
      <c r="A93" s="204" t="s">
        <v>204</v>
      </c>
      <c r="B93" s="181"/>
      <c r="C93" s="181"/>
      <c r="D93" s="181"/>
      <c r="E93" s="205"/>
      <c r="F93" s="284"/>
      <c r="G93" s="152"/>
      <c r="H93" s="152"/>
      <c r="I93" s="303"/>
      <c r="J93" s="183"/>
      <c r="K93" s="183"/>
      <c r="L93" s="212">
        <f>SUM(L86:L92)</f>
        <v>2770</v>
      </c>
      <c r="M93" s="9"/>
      <c r="N93" s="152"/>
      <c r="O93" s="324"/>
      <c r="P93" s="212">
        <f>SUM(P86:P92)</f>
        <v>2770</v>
      </c>
      <c r="Q93" s="208">
        <f>Q84+P93</f>
        <v>26476.539673714287</v>
      </c>
    </row>
    <row r="94" spans="1:17" ht="12.75">
      <c r="A94" s="200" t="s">
        <v>238</v>
      </c>
      <c r="B94" s="53"/>
      <c r="C94" s="53"/>
      <c r="D94" s="53"/>
      <c r="E94" s="325"/>
      <c r="F94" s="326">
        <f>F11+F21+F34+F46+F53+F61+F65+F70+F75</f>
        <v>170.108</v>
      </c>
      <c r="G94" s="327"/>
      <c r="H94" s="216">
        <f>H11+H21+H34+H46+H53+H61+H65+H70+H75</f>
        <v>1361.755388</v>
      </c>
      <c r="I94" s="152"/>
      <c r="J94" s="154"/>
      <c r="K94" s="154"/>
      <c r="L94" s="327">
        <f>L11+L21+L34+L46+L53+L61+L65+L70+L75</f>
        <v>2342.2000000000003</v>
      </c>
      <c r="M94" s="326">
        <f>M11+M21+M34+M46+M53+M61+M65+M70+M75</f>
        <v>467.99999999999994</v>
      </c>
      <c r="N94" s="327"/>
      <c r="O94" s="327">
        <f>O11+O21+O34+O46+O53+O61+O65+O70+O75</f>
        <v>4680</v>
      </c>
      <c r="P94" s="213">
        <f>P11+P21+P34+P46+P53+P61+P65+P70+P75</f>
        <v>8383.955388</v>
      </c>
      <c r="Q94" s="177"/>
    </row>
    <row r="95" spans="1:17" ht="12.75">
      <c r="A95" s="200" t="s">
        <v>239</v>
      </c>
      <c r="B95" s="53"/>
      <c r="C95" s="53"/>
      <c r="D95" s="53"/>
      <c r="E95" s="52"/>
      <c r="F95" s="304">
        <f>F11+F21+F34+F46+F53+F61+F65+F70+F75+F84</f>
        <v>442.108</v>
      </c>
      <c r="G95" s="152"/>
      <c r="H95" s="212">
        <f>H11+H21+H34+H46+H53+H61+H65+H70+H75+H84</f>
        <v>3567.6730070476187</v>
      </c>
      <c r="I95" s="152"/>
      <c r="J95" s="154"/>
      <c r="K95" s="154"/>
      <c r="L95" s="152">
        <f>L11+L21+L34+L46+L53+L61+L65+L70+L75+L84</f>
        <v>6403.311111111111</v>
      </c>
      <c r="M95" s="304">
        <f>M11+M21+M34+M46+M53+M61+M65+M70+M75+M84</f>
        <v>1951.3333333333333</v>
      </c>
      <c r="N95" s="152"/>
      <c r="O95" s="152">
        <f>O11+O21+O34+O46+O53+O61+O65+O70+O75+O84</f>
        <v>13735.555555555555</v>
      </c>
      <c r="P95" s="177">
        <f>P11+P21+P34+P46+P53+P61+P65+P70+P75+P84</f>
        <v>23706.539673714287</v>
      </c>
      <c r="Q95" s="212"/>
    </row>
    <row r="96" spans="1:17" ht="12.75">
      <c r="A96" s="204" t="s">
        <v>206</v>
      </c>
      <c r="B96" s="181"/>
      <c r="C96" s="181"/>
      <c r="D96" s="181"/>
      <c r="E96" s="205"/>
      <c r="F96" s="303">
        <f>F11+F21+F34+F46+F53+F61+F65+F70+F75+F84+F93</f>
        <v>442.108</v>
      </c>
      <c r="G96" s="184"/>
      <c r="H96" s="207">
        <f>H11+H21+H34+H46+H53+H61+H65+H70+H75+H84+H93</f>
        <v>3567.6730070476187</v>
      </c>
      <c r="I96" s="184"/>
      <c r="J96" s="183"/>
      <c r="K96" s="183"/>
      <c r="L96" s="184">
        <f>L11+L21+L34+L46+L53+L61+L65+L70+L75+L84+L93</f>
        <v>9173.31111111111</v>
      </c>
      <c r="M96" s="303">
        <f>M11+M21+M34+M46+M53+M61+M65+M70+M75+M84+M93</f>
        <v>1951.3333333333333</v>
      </c>
      <c r="N96" s="184"/>
      <c r="O96" s="184">
        <f>O11+O21+O34+O46+O53+O61+O65+O70+O75+O84+O93</f>
        <v>13735.555555555555</v>
      </c>
      <c r="P96" s="208">
        <f>P11+P21+P34+P46+P53+P61+P65+P70+P75+P84+P93</f>
        <v>26476.539673714287</v>
      </c>
      <c r="Q96" s="215"/>
    </row>
    <row r="98" s="9" customFormat="1" ht="11.25">
      <c r="A98" s="9" t="s">
        <v>168</v>
      </c>
    </row>
    <row r="99" spans="1:11" s="9" customFormat="1" ht="11.25">
      <c r="A99" s="9" t="s">
        <v>169</v>
      </c>
      <c r="K99" s="101"/>
    </row>
    <row r="100" spans="1:15" s="9" customFormat="1" ht="11.25">
      <c r="A100" s="9" t="s">
        <v>170</v>
      </c>
      <c r="H100" s="92"/>
      <c r="K100" s="101"/>
      <c r="L100" s="92"/>
      <c r="O100" s="92"/>
    </row>
  </sheetData>
  <sheetProtection password="ECAF" sheet="1" selectLockedCells="1"/>
  <mergeCells count="3">
    <mergeCell ref="F2:H2"/>
    <mergeCell ref="I2:L2"/>
    <mergeCell ref="M2:O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7"/>
  <sheetViews>
    <sheetView tabSelected="1" zoomScalePageLayoutView="0" workbookViewId="0" topLeftCell="A1">
      <selection activeCell="G10" sqref="G10"/>
    </sheetView>
  </sheetViews>
  <sheetFormatPr defaultColWidth="8.8515625" defaultRowHeight="12.75"/>
  <cols>
    <col min="1" max="1" width="19.8515625" style="0" customWidth="1"/>
    <col min="2" max="7" width="8.8515625" style="0" customWidth="1"/>
    <col min="8" max="8" width="9.28125" style="0" bestFit="1" customWidth="1"/>
  </cols>
  <sheetData>
    <row r="1" spans="1:10" ht="12.75">
      <c r="A1" s="452" t="s">
        <v>182</v>
      </c>
      <c r="B1" s="452"/>
      <c r="C1" s="452"/>
      <c r="D1" s="452"/>
      <c r="E1" s="452"/>
      <c r="F1" s="452"/>
      <c r="G1" s="452"/>
      <c r="H1" s="452"/>
      <c r="I1" s="452"/>
      <c r="J1" s="70"/>
    </row>
    <row r="2" spans="1:9" ht="12.75">
      <c r="A2" s="7"/>
      <c r="D2" s="68"/>
      <c r="F2" s="7"/>
      <c r="G2" s="69"/>
      <c r="H2" s="48"/>
      <c r="I2" s="48"/>
    </row>
    <row r="3" spans="1:10" ht="27.75" customHeight="1">
      <c r="A3" s="453" t="s">
        <v>288</v>
      </c>
      <c r="B3" s="454"/>
      <c r="C3" s="454"/>
      <c r="D3" s="454"/>
      <c r="E3" s="454"/>
      <c r="F3" s="454"/>
      <c r="G3" s="454"/>
      <c r="H3" s="454"/>
      <c r="I3" s="454"/>
      <c r="J3" s="19"/>
    </row>
    <row r="4" spans="2:10" ht="12.75">
      <c r="B4" s="2"/>
      <c r="C4" s="2"/>
      <c r="D4" s="2"/>
      <c r="E4" s="2"/>
      <c r="F4" s="2"/>
      <c r="G4" s="2"/>
      <c r="H4" s="2"/>
      <c r="I4" s="2"/>
      <c r="J4" s="2"/>
    </row>
    <row r="5" ht="12.75">
      <c r="A5" s="1" t="s">
        <v>107</v>
      </c>
    </row>
    <row r="7" ht="12.75">
      <c r="B7" s="7" t="s">
        <v>136</v>
      </c>
    </row>
    <row r="8" spans="2:8" ht="12.75">
      <c r="B8" s="7"/>
      <c r="C8" t="s">
        <v>55</v>
      </c>
      <c r="G8" s="469">
        <f>G9*0.8</f>
        <v>8000</v>
      </c>
      <c r="H8" t="s">
        <v>137</v>
      </c>
    </row>
    <row r="9" spans="2:8" ht="12.75">
      <c r="B9" s="7"/>
      <c r="C9" s="7" t="s">
        <v>162</v>
      </c>
      <c r="G9" s="469">
        <v>10000</v>
      </c>
      <c r="H9" t="s">
        <v>137</v>
      </c>
    </row>
    <row r="10" spans="2:8" ht="12.75">
      <c r="B10" s="7"/>
      <c r="C10" s="7" t="s">
        <v>163</v>
      </c>
      <c r="G10" s="469">
        <f>G9*0.7</f>
        <v>7000</v>
      </c>
      <c r="H10" t="s">
        <v>137</v>
      </c>
    </row>
    <row r="11" spans="2:8" ht="12.75">
      <c r="B11" s="7"/>
      <c r="C11" s="7" t="s">
        <v>164</v>
      </c>
      <c r="G11" s="469">
        <f>G9*0.5</f>
        <v>5000</v>
      </c>
      <c r="H11" t="s">
        <v>137</v>
      </c>
    </row>
    <row r="12" ht="12.75">
      <c r="B12" s="7" t="s">
        <v>104</v>
      </c>
    </row>
    <row r="13" spans="3:7" ht="12.75">
      <c r="C13" s="7" t="s">
        <v>110</v>
      </c>
      <c r="G13" s="470">
        <v>0.8</v>
      </c>
    </row>
    <row r="14" spans="3:7" ht="12.75">
      <c r="C14" s="7" t="s">
        <v>171</v>
      </c>
      <c r="G14" s="471">
        <v>12</v>
      </c>
    </row>
    <row r="15" spans="3:8" ht="12.75">
      <c r="C15" s="7" t="s">
        <v>174</v>
      </c>
      <c r="G15" s="471">
        <v>6</v>
      </c>
      <c r="H15" t="s">
        <v>3</v>
      </c>
    </row>
    <row r="16" spans="3:7" ht="12.75">
      <c r="C16" s="7"/>
      <c r="G16" s="113"/>
    </row>
    <row r="17" spans="3:7" ht="12.75">
      <c r="C17" s="7" t="s">
        <v>165</v>
      </c>
      <c r="G17" s="34">
        <f>G9*G13</f>
        <v>8000</v>
      </c>
    </row>
    <row r="18" spans="3:7" ht="12.75">
      <c r="C18" s="7" t="s">
        <v>173</v>
      </c>
      <c r="G18" s="34">
        <f>G17*16/G15</f>
        <v>21333.333333333332</v>
      </c>
    </row>
    <row r="19" spans="3:7" ht="12.75">
      <c r="C19" s="7" t="s">
        <v>166</v>
      </c>
      <c r="G19" s="34">
        <f>G17*16/G15/G14</f>
        <v>1777.7777777777776</v>
      </c>
    </row>
    <row r="20" ht="12.75">
      <c r="B20" s="7" t="s">
        <v>106</v>
      </c>
    </row>
    <row r="21" spans="3:8" ht="12.75">
      <c r="C21" s="7" t="s">
        <v>110</v>
      </c>
      <c r="G21" s="59">
        <f>1-G13</f>
        <v>0.19999999999999996</v>
      </c>
      <c r="H21" s="46"/>
    </row>
    <row r="22" spans="3:7" ht="12.75">
      <c r="C22" s="7" t="s">
        <v>165</v>
      </c>
      <c r="G22" s="34">
        <f>G9*G21</f>
        <v>1999.9999999999995</v>
      </c>
    </row>
    <row r="24" ht="12.75">
      <c r="B24" s="7" t="s">
        <v>89</v>
      </c>
    </row>
    <row r="25" ht="12.75">
      <c r="B25" s="7" t="s">
        <v>104</v>
      </c>
    </row>
    <row r="26" spans="2:7" ht="12.75">
      <c r="B26" s="7"/>
      <c r="C26" s="7" t="s">
        <v>86</v>
      </c>
      <c r="G26" s="472">
        <v>25</v>
      </c>
    </row>
    <row r="27" spans="2:11" ht="12.75">
      <c r="B27" s="7"/>
      <c r="C27" t="s">
        <v>172</v>
      </c>
      <c r="G27" s="14">
        <f>G26/G14</f>
        <v>2.0833333333333335</v>
      </c>
      <c r="K27" s="14"/>
    </row>
    <row r="28" spans="3:11" ht="12.75">
      <c r="C28" t="s">
        <v>105</v>
      </c>
      <c r="G28" s="14">
        <f>G26/(G14*G15/16)</f>
        <v>5.555555555555555</v>
      </c>
      <c r="K28" s="14"/>
    </row>
    <row r="29" spans="3:7" ht="12.75">
      <c r="C29" s="7" t="s">
        <v>3</v>
      </c>
      <c r="G29" s="61" t="s">
        <v>3</v>
      </c>
    </row>
    <row r="30" ht="12.75">
      <c r="B30" s="7" t="s">
        <v>106</v>
      </c>
    </row>
    <row r="31" spans="3:7" ht="12.75">
      <c r="C31" s="7" t="s">
        <v>105</v>
      </c>
      <c r="G31" s="472">
        <v>0</v>
      </c>
    </row>
    <row r="33" ht="12.75">
      <c r="A33" s="1" t="s">
        <v>183</v>
      </c>
    </row>
    <row r="35" spans="2:8" ht="12.75">
      <c r="B35" s="7" t="s">
        <v>109</v>
      </c>
      <c r="G35" s="472">
        <v>10</v>
      </c>
      <c r="H35" s="7" t="s">
        <v>184</v>
      </c>
    </row>
    <row r="36" spans="2:8" ht="12.75">
      <c r="B36" s="7" t="s">
        <v>188</v>
      </c>
      <c r="C36" s="7"/>
      <c r="G36" s="472">
        <v>20</v>
      </c>
      <c r="H36" s="7" t="s">
        <v>184</v>
      </c>
    </row>
    <row r="37" ht="12.75">
      <c r="B37" s="7" t="s">
        <v>108</v>
      </c>
    </row>
    <row r="38" spans="3:8" ht="12.75">
      <c r="C38" s="7" t="s">
        <v>132</v>
      </c>
      <c r="G38" s="472">
        <v>3.5</v>
      </c>
      <c r="H38" t="s">
        <v>131</v>
      </c>
    </row>
    <row r="39" spans="3:8" ht="12.75">
      <c r="C39" s="7" t="s">
        <v>133</v>
      </c>
      <c r="G39" s="472">
        <v>0.5</v>
      </c>
      <c r="H39" t="s">
        <v>131</v>
      </c>
    </row>
    <row r="40" spans="3:8" ht="12.75">
      <c r="C40" s="7" t="s">
        <v>134</v>
      </c>
      <c r="G40" s="472">
        <v>0.25</v>
      </c>
      <c r="H40" t="s">
        <v>131</v>
      </c>
    </row>
    <row r="42" ht="12.75">
      <c r="B42" s="7" t="s">
        <v>74</v>
      </c>
    </row>
    <row r="43" spans="3:8" ht="12.75">
      <c r="C43" s="7" t="s">
        <v>289</v>
      </c>
      <c r="G43" s="473">
        <v>0.115</v>
      </c>
      <c r="H43" t="s">
        <v>135</v>
      </c>
    </row>
    <row r="44" spans="3:8" ht="12.75">
      <c r="C44" s="7" t="s">
        <v>91</v>
      </c>
      <c r="G44" s="473">
        <v>0.55</v>
      </c>
      <c r="H44" t="s">
        <v>135</v>
      </c>
    </row>
    <row r="45" spans="3:7" ht="12.75">
      <c r="C45" s="7"/>
      <c r="G45" s="66"/>
    </row>
    <row r="46" spans="2:7" ht="12.75">
      <c r="B46" s="7" t="s">
        <v>176</v>
      </c>
      <c r="C46" s="7"/>
      <c r="G46" s="66"/>
    </row>
    <row r="47" spans="3:7" ht="12.75">
      <c r="C47" s="57" t="s">
        <v>79</v>
      </c>
      <c r="D47" s="57"/>
      <c r="E47" s="67"/>
      <c r="G47" s="474">
        <v>0.05</v>
      </c>
    </row>
    <row r="48" spans="3:7" ht="12.75">
      <c r="C48" s="57" t="s">
        <v>80</v>
      </c>
      <c r="D48" s="67"/>
      <c r="E48" s="67"/>
      <c r="G48" s="474">
        <v>0.01</v>
      </c>
    </row>
    <row r="49" spans="3:7" ht="12.75">
      <c r="C49" s="57" t="s">
        <v>81</v>
      </c>
      <c r="D49" s="57"/>
      <c r="E49" s="57"/>
      <c r="G49" s="474">
        <v>0.01</v>
      </c>
    </row>
    <row r="50" spans="3:7" ht="12.75">
      <c r="C50" s="57"/>
      <c r="D50" s="57"/>
      <c r="E50" s="57"/>
      <c r="G50" s="71"/>
    </row>
    <row r="51" spans="2:8" ht="12.75">
      <c r="B51" s="57" t="s">
        <v>159</v>
      </c>
      <c r="D51" s="57"/>
      <c r="E51" s="57"/>
      <c r="G51" s="478">
        <v>2.5</v>
      </c>
      <c r="H51" t="s">
        <v>161</v>
      </c>
    </row>
    <row r="52" spans="2:8" ht="12.75">
      <c r="B52" s="57" t="s">
        <v>160</v>
      </c>
      <c r="D52" s="57"/>
      <c r="E52" s="57"/>
      <c r="G52" s="478">
        <v>3.2</v>
      </c>
      <c r="H52" t="s">
        <v>161</v>
      </c>
    </row>
    <row r="53" spans="2:7" ht="12.75">
      <c r="B53" s="57"/>
      <c r="D53" s="57"/>
      <c r="E53" s="57"/>
      <c r="G53" s="195"/>
    </row>
    <row r="54" spans="1:7" ht="12.75">
      <c r="A54" s="196" t="s">
        <v>197</v>
      </c>
      <c r="B54" s="57"/>
      <c r="C54" s="57"/>
      <c r="D54" s="57"/>
      <c r="E54" s="57"/>
      <c r="G54" s="195"/>
    </row>
    <row r="55" spans="1:8" ht="12.75">
      <c r="A55" s="197"/>
      <c r="B55" s="198" t="s">
        <v>198</v>
      </c>
      <c r="C55" s="198"/>
      <c r="D55" s="57"/>
      <c r="E55" s="199" t="s">
        <v>3</v>
      </c>
      <c r="F55" s="50" t="s">
        <v>3</v>
      </c>
      <c r="G55" s="472">
        <v>100</v>
      </c>
      <c r="H55" s="7" t="s">
        <v>199</v>
      </c>
    </row>
    <row r="56" spans="1:8" ht="12.75">
      <c r="A56" s="197"/>
      <c r="B56" s="198" t="s">
        <v>200</v>
      </c>
      <c r="C56" s="198"/>
      <c r="D56" s="57"/>
      <c r="F56" s="50" t="s">
        <v>3</v>
      </c>
      <c r="G56" s="472">
        <v>40</v>
      </c>
      <c r="H56" s="7" t="s">
        <v>199</v>
      </c>
    </row>
    <row r="57" spans="1:8" ht="12.75">
      <c r="A57" s="197"/>
      <c r="B57" s="475" t="s">
        <v>201</v>
      </c>
      <c r="C57" s="475"/>
      <c r="D57" s="476"/>
      <c r="E57" s="477"/>
      <c r="F57" s="50" t="s">
        <v>3</v>
      </c>
      <c r="G57" s="472">
        <v>0</v>
      </c>
      <c r="H57" s="7" t="s">
        <v>199</v>
      </c>
    </row>
    <row r="58" spans="1:8" ht="12.75">
      <c r="A58" s="197"/>
      <c r="B58" s="198" t="s">
        <v>202</v>
      </c>
      <c r="C58" s="198"/>
      <c r="D58" s="57"/>
      <c r="E58" s="431"/>
      <c r="F58" s="50"/>
      <c r="G58" s="472">
        <v>400</v>
      </c>
      <c r="H58" s="7" t="s">
        <v>199</v>
      </c>
    </row>
    <row r="59" spans="1:8" ht="12.75">
      <c r="A59" s="197"/>
      <c r="B59" s="198" t="s">
        <v>203</v>
      </c>
      <c r="C59" s="198"/>
      <c r="D59" s="57"/>
      <c r="E59" s="431"/>
      <c r="F59" s="50"/>
      <c r="G59" s="472">
        <v>400</v>
      </c>
      <c r="H59" s="7" t="s">
        <v>199</v>
      </c>
    </row>
    <row r="60" spans="1:8" ht="12.75">
      <c r="A60" s="197"/>
      <c r="B60" s="198" t="s">
        <v>290</v>
      </c>
      <c r="C60" s="198"/>
      <c r="D60" s="57"/>
      <c r="E60" s="431"/>
      <c r="F60" s="50"/>
      <c r="G60" s="472">
        <v>1000</v>
      </c>
      <c r="H60" s="7" t="s">
        <v>199</v>
      </c>
    </row>
    <row r="61" ht="13.5" customHeight="1"/>
    <row r="62" spans="1:9" ht="77.25" thickBot="1">
      <c r="A62" s="72" t="s">
        <v>140</v>
      </c>
      <c r="B62" s="72" t="s">
        <v>117</v>
      </c>
      <c r="C62" s="72" t="s">
        <v>118</v>
      </c>
      <c r="D62" s="72" t="s">
        <v>119</v>
      </c>
      <c r="E62" s="73" t="s">
        <v>138</v>
      </c>
      <c r="F62" s="73" t="s">
        <v>120</v>
      </c>
      <c r="G62" s="73" t="s">
        <v>121</v>
      </c>
      <c r="H62" s="73" t="s">
        <v>122</v>
      </c>
      <c r="I62" s="73" t="s">
        <v>123</v>
      </c>
    </row>
    <row r="63" spans="1:9" ht="13.5" customHeight="1" thickTop="1">
      <c r="A63" s="74" t="s">
        <v>82</v>
      </c>
      <c r="B63" s="110">
        <f>G52</f>
        <v>3.2</v>
      </c>
      <c r="C63" s="479">
        <v>1.5</v>
      </c>
      <c r="D63" s="481">
        <v>0.02</v>
      </c>
      <c r="E63" s="75"/>
      <c r="F63" s="75"/>
      <c r="G63" s="76">
        <f>B63*C63</f>
        <v>4.800000000000001</v>
      </c>
      <c r="H63" s="77">
        <f>G63*D63</f>
        <v>0.09600000000000002</v>
      </c>
      <c r="I63" s="77">
        <f>G63+H63</f>
        <v>4.896000000000001</v>
      </c>
    </row>
    <row r="64" spans="1:9" ht="13.5" customHeight="1">
      <c r="A64" s="78" t="s">
        <v>83</v>
      </c>
      <c r="B64" s="79">
        <f>G52</f>
        <v>3.2</v>
      </c>
      <c r="C64" s="480">
        <v>2.5</v>
      </c>
      <c r="D64" s="482">
        <v>0.02</v>
      </c>
      <c r="E64" s="80"/>
      <c r="F64" s="80"/>
      <c r="G64" s="81">
        <f>B64*C64</f>
        <v>8</v>
      </c>
      <c r="H64" s="82">
        <f>G64*D64</f>
        <v>0.16</v>
      </c>
      <c r="I64" s="82">
        <f>G64+H64</f>
        <v>8.16</v>
      </c>
    </row>
    <row r="65" spans="1:9" ht="14.25" customHeight="1">
      <c r="A65" s="83" t="s">
        <v>129</v>
      </c>
      <c r="B65" s="79">
        <f>G51</f>
        <v>2.5</v>
      </c>
      <c r="C65" s="480">
        <v>2</v>
      </c>
      <c r="D65" s="482">
        <v>0.02</v>
      </c>
      <c r="E65" s="84"/>
      <c r="F65" s="84"/>
      <c r="G65" s="81">
        <f>B65*C65</f>
        <v>5</v>
      </c>
      <c r="H65" s="82">
        <f>G65*D65</f>
        <v>0.1</v>
      </c>
      <c r="I65" s="82">
        <f>G65+H65</f>
        <v>5.1</v>
      </c>
    </row>
    <row r="66" spans="1:9" ht="13.5" customHeight="1">
      <c r="A66" s="83" t="s">
        <v>130</v>
      </c>
      <c r="B66" s="111">
        <f>G51</f>
        <v>2.5</v>
      </c>
      <c r="C66" s="85"/>
      <c r="D66" s="482">
        <v>0.02</v>
      </c>
      <c r="E66" s="483">
        <v>15</v>
      </c>
      <c r="F66" s="483">
        <v>50</v>
      </c>
      <c r="G66" s="81">
        <f>(B66*F66)/E66</f>
        <v>8.333333333333334</v>
      </c>
      <c r="H66" s="82">
        <f>G66*D66</f>
        <v>0.16666666666666669</v>
      </c>
      <c r="I66" s="82">
        <f>G66+H66</f>
        <v>8.5</v>
      </c>
    </row>
    <row r="67" spans="1:9" ht="15" customHeight="1">
      <c r="A67" s="83" t="s">
        <v>139</v>
      </c>
      <c r="B67" s="86">
        <f>G51</f>
        <v>2.5</v>
      </c>
      <c r="C67" s="87"/>
      <c r="D67" s="482">
        <v>0.02</v>
      </c>
      <c r="E67" s="483">
        <v>12</v>
      </c>
      <c r="F67" s="483">
        <v>50</v>
      </c>
      <c r="G67" s="81">
        <f>(B67*F67)/E67</f>
        <v>10.416666666666666</v>
      </c>
      <c r="H67" s="82">
        <f>G67*D67</f>
        <v>0.20833333333333331</v>
      </c>
      <c r="I67" s="82">
        <f>G67+H67</f>
        <v>10.625</v>
      </c>
    </row>
  </sheetData>
  <sheetProtection password="ECAF" sheet="1" selectLockedCells="1"/>
  <mergeCells count="2">
    <mergeCell ref="A1:I1"/>
    <mergeCell ref="A3:I3"/>
  </mergeCells>
  <printOptions/>
  <pageMargins left="0.64" right="0.41"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7030A0"/>
  </sheetPr>
  <dimension ref="A1:J31"/>
  <sheetViews>
    <sheetView showGridLines="0" zoomScalePageLayoutView="0" workbookViewId="0" topLeftCell="A1">
      <selection activeCell="A1" sqref="A1:J32"/>
    </sheetView>
  </sheetViews>
  <sheetFormatPr defaultColWidth="8.8515625" defaultRowHeight="12.75"/>
  <cols>
    <col min="1" max="6" width="8.8515625" style="0" customWidth="1"/>
    <col min="7" max="7" width="10.8515625" style="0" customWidth="1"/>
    <col min="8" max="8" width="8.8515625" style="0" customWidth="1"/>
    <col min="9" max="9" width="10.28125" style="0" customWidth="1"/>
    <col min="10" max="10" width="13.140625" style="0" customWidth="1"/>
  </cols>
  <sheetData>
    <row r="1" spans="1:10" ht="12.75">
      <c r="A1" s="452" t="s">
        <v>185</v>
      </c>
      <c r="B1" s="452"/>
      <c r="C1" s="452"/>
      <c r="D1" s="452"/>
      <c r="E1" s="452"/>
      <c r="F1" s="452"/>
      <c r="G1" s="452"/>
      <c r="H1" s="452"/>
      <c r="I1" s="452"/>
      <c r="J1" s="452"/>
    </row>
    <row r="2" spans="1:7" ht="13.5" thickBot="1">
      <c r="A2" t="s">
        <v>3</v>
      </c>
      <c r="E2" t="s">
        <v>3</v>
      </c>
      <c r="G2" t="s">
        <v>3</v>
      </c>
    </row>
    <row r="3" spans="1:10" ht="12.75">
      <c r="A3" s="20"/>
      <c r="B3" s="20"/>
      <c r="C3" s="21"/>
      <c r="D3" s="21"/>
      <c r="E3" s="21"/>
      <c r="F3" s="37" t="s">
        <v>50</v>
      </c>
      <c r="G3" s="37" t="s">
        <v>51</v>
      </c>
      <c r="H3" s="37" t="s">
        <v>52</v>
      </c>
      <c r="I3" s="37" t="s">
        <v>53</v>
      </c>
      <c r="J3" s="37" t="s">
        <v>93</v>
      </c>
    </row>
    <row r="4" spans="1:10" ht="13.5" thickBot="1">
      <c r="A4" s="22" t="s">
        <v>4</v>
      </c>
      <c r="B4" s="22" t="s">
        <v>94</v>
      </c>
      <c r="C4" s="22"/>
      <c r="D4" s="23"/>
      <c r="E4" s="23"/>
      <c r="F4" s="31" t="s">
        <v>73</v>
      </c>
      <c r="G4" s="31" t="s">
        <v>73</v>
      </c>
      <c r="H4" s="31" t="s">
        <v>73</v>
      </c>
      <c r="I4" s="31" t="s">
        <v>73</v>
      </c>
      <c r="J4" s="31" t="s">
        <v>73</v>
      </c>
    </row>
    <row r="5" spans="6:9" ht="12.75">
      <c r="F5" s="455" t="s">
        <v>141</v>
      </c>
      <c r="G5" s="455"/>
      <c r="H5" s="455"/>
      <c r="I5" s="455"/>
    </row>
    <row r="6" spans="1:10" ht="12.75">
      <c r="A6" s="36" t="s">
        <v>23</v>
      </c>
      <c r="B6" s="39"/>
      <c r="C6" s="39"/>
      <c r="D6" s="39"/>
      <c r="E6" s="39"/>
      <c r="F6" s="119" t="s">
        <v>3</v>
      </c>
      <c r="G6" s="119" t="s">
        <v>3</v>
      </c>
      <c r="H6" s="119" t="s">
        <v>3</v>
      </c>
      <c r="I6" s="119" t="s">
        <v>3</v>
      </c>
      <c r="J6" s="39"/>
    </row>
    <row r="7" spans="1:10" ht="12.75">
      <c r="A7" s="39"/>
      <c r="B7" s="39" t="s">
        <v>18</v>
      </c>
      <c r="C7" s="39"/>
      <c r="D7" s="39"/>
      <c r="E7" s="39" t="s">
        <v>3</v>
      </c>
      <c r="F7" s="271">
        <f>Year0!H6</f>
        <v>0</v>
      </c>
      <c r="G7" s="271">
        <f>Year0!L6</f>
        <v>0</v>
      </c>
      <c r="H7" s="271">
        <f>Year0!O6</f>
        <v>5</v>
      </c>
      <c r="I7" s="271">
        <f>Year0!P6</f>
        <v>5</v>
      </c>
      <c r="J7" s="118"/>
    </row>
    <row r="8" spans="1:10" ht="12.75">
      <c r="A8" s="39"/>
      <c r="B8" s="122" t="s">
        <v>208</v>
      </c>
      <c r="C8" s="39"/>
      <c r="D8" s="39"/>
      <c r="E8" s="39"/>
      <c r="F8" s="271">
        <f>Year0!H7</f>
        <v>0</v>
      </c>
      <c r="G8" s="271">
        <f>Year0!L7</f>
        <v>2</v>
      </c>
      <c r="H8" s="271">
        <f>Year0!O7</f>
        <v>5</v>
      </c>
      <c r="I8" s="271">
        <f>Year0!P7</f>
        <v>7</v>
      </c>
      <c r="J8" s="118"/>
    </row>
    <row r="9" spans="1:10" ht="12.75">
      <c r="A9" s="36" t="s">
        <v>24</v>
      </c>
      <c r="B9" s="39"/>
      <c r="C9" s="39"/>
      <c r="D9" s="39"/>
      <c r="E9" s="39"/>
      <c r="F9" s="272">
        <f>Year0!H8</f>
        <v>0</v>
      </c>
      <c r="G9" s="272">
        <f>Year0!L8</f>
        <v>2</v>
      </c>
      <c r="H9" s="272">
        <f>Year0!O8</f>
        <v>10</v>
      </c>
      <c r="I9" s="272">
        <f>Year0!P8</f>
        <v>12</v>
      </c>
      <c r="J9" s="118"/>
    </row>
    <row r="10" spans="1:10" ht="12.75">
      <c r="A10" s="36" t="s">
        <v>16</v>
      </c>
      <c r="B10" s="39"/>
      <c r="C10" s="39"/>
      <c r="D10" s="39"/>
      <c r="E10" s="39"/>
      <c r="F10" s="273" t="s">
        <v>3</v>
      </c>
      <c r="G10" s="273" t="s">
        <v>3</v>
      </c>
      <c r="H10" s="273" t="s">
        <v>3</v>
      </c>
      <c r="I10" s="273" t="s">
        <v>3</v>
      </c>
      <c r="J10" s="39"/>
    </row>
    <row r="11" spans="1:10" ht="12.75">
      <c r="A11" s="39"/>
      <c r="B11" s="122" t="s">
        <v>210</v>
      </c>
      <c r="C11" s="39"/>
      <c r="D11" s="39"/>
      <c r="E11" s="39"/>
      <c r="F11" s="271">
        <f>Year0!H10</f>
        <v>0</v>
      </c>
      <c r="G11" s="271">
        <f>Year0!L10</f>
        <v>0</v>
      </c>
      <c r="H11" s="271">
        <f>Year0!O10</f>
        <v>240</v>
      </c>
      <c r="I11" s="271">
        <f>Year0!P10</f>
        <v>240</v>
      </c>
      <c r="J11" s="118"/>
    </row>
    <row r="12" spans="1:10" ht="12.75">
      <c r="A12" s="39"/>
      <c r="B12" s="120" t="s">
        <v>209</v>
      </c>
      <c r="C12" s="120"/>
      <c r="D12" s="39"/>
      <c r="E12" s="39" t="s">
        <v>3</v>
      </c>
      <c r="F12" s="271">
        <f>Year0!H11</f>
        <v>17.22776</v>
      </c>
      <c r="G12" s="271">
        <f>Year0!L11</f>
        <v>0</v>
      </c>
      <c r="H12" s="271">
        <f>Year0!O11</f>
        <v>26.400000000000002</v>
      </c>
      <c r="I12" s="271">
        <f>Year0!P11</f>
        <v>43.62776</v>
      </c>
      <c r="J12" s="118"/>
    </row>
    <row r="13" spans="1:10" ht="12.75">
      <c r="A13" s="39"/>
      <c r="B13" s="120" t="s">
        <v>211</v>
      </c>
      <c r="C13" s="120"/>
      <c r="D13" s="39"/>
      <c r="E13" s="39"/>
      <c r="F13" s="271">
        <f>Year0!H12</f>
        <v>9.628813333333333</v>
      </c>
      <c r="G13" s="271">
        <f>Year0!L12</f>
        <v>0</v>
      </c>
      <c r="H13" s="271">
        <f>Year0!O12</f>
        <v>13.200000000000001</v>
      </c>
      <c r="I13" s="271">
        <f>Year0!P12</f>
        <v>22.828813333333336</v>
      </c>
      <c r="J13" s="118"/>
    </row>
    <row r="14" spans="1:10" ht="12.75">
      <c r="A14" s="39"/>
      <c r="B14" s="120" t="s">
        <v>212</v>
      </c>
      <c r="C14" s="120"/>
      <c r="D14" s="39"/>
      <c r="E14" s="39" t="s">
        <v>3</v>
      </c>
      <c r="F14" s="271">
        <f>Year0!H13</f>
        <v>4.8496</v>
      </c>
      <c r="G14" s="271">
        <f>Year0!L13</f>
        <v>40</v>
      </c>
      <c r="H14" s="271">
        <f>Year0!O13</f>
        <v>8.4</v>
      </c>
      <c r="I14" s="271">
        <f>Year0!P13</f>
        <v>53.2496</v>
      </c>
      <c r="J14" s="118"/>
    </row>
    <row r="15" spans="1:10" ht="12.75">
      <c r="A15" s="39"/>
      <c r="B15" s="120" t="s">
        <v>149</v>
      </c>
      <c r="C15" s="121"/>
      <c r="D15" s="39"/>
      <c r="E15" s="39" t="s">
        <v>3</v>
      </c>
      <c r="F15" s="271">
        <f>Year0!H14</f>
        <v>4.8496</v>
      </c>
      <c r="G15" s="271">
        <f>Year0!L14</f>
        <v>500</v>
      </c>
      <c r="H15" s="271">
        <f>Year0!O14</f>
        <v>8.4</v>
      </c>
      <c r="I15" s="271">
        <f>Year0!P14</f>
        <v>513.2496</v>
      </c>
      <c r="J15" s="118"/>
    </row>
    <row r="16" spans="1:10" ht="12.75">
      <c r="A16" s="39"/>
      <c r="B16" s="120" t="s">
        <v>305</v>
      </c>
      <c r="C16" s="121"/>
      <c r="D16" s="39"/>
      <c r="F16" s="271">
        <f>Year0!H15+Year0!H16+Year0!H17</f>
        <v>55.980799999999995</v>
      </c>
      <c r="G16" s="271">
        <f>Year0!L15+Year0!L16+Year0!L17</f>
        <v>37.2</v>
      </c>
      <c r="H16" s="271">
        <f>Year0!O15+Year0!O16+Year0!O17</f>
        <v>72</v>
      </c>
      <c r="I16" s="271">
        <f>Year0!P15+Year0!P16+Year0!P17</f>
        <v>165.1808</v>
      </c>
      <c r="J16" s="118"/>
    </row>
    <row r="17" spans="1:10" ht="12.75">
      <c r="A17" s="36" t="s">
        <v>17</v>
      </c>
      <c r="B17" s="39"/>
      <c r="C17" s="39"/>
      <c r="D17" s="39"/>
      <c r="E17" s="39"/>
      <c r="F17" s="272">
        <f>Year0!H18</f>
        <v>92.53657333333334</v>
      </c>
      <c r="G17" s="272">
        <f>Year0!L18</f>
        <v>577.1999999999999</v>
      </c>
      <c r="H17" s="272">
        <f>Year0!O18</f>
        <v>368.3999999999999</v>
      </c>
      <c r="I17" s="272">
        <f>Year0!P18</f>
        <v>1038.1365733333334</v>
      </c>
      <c r="J17" s="118"/>
    </row>
    <row r="18" spans="1:10" ht="12.75">
      <c r="A18" s="36" t="s">
        <v>42</v>
      </c>
      <c r="B18" s="39"/>
      <c r="C18" s="39"/>
      <c r="D18" s="39"/>
      <c r="E18" s="39"/>
      <c r="F18" s="273" t="s">
        <v>3</v>
      </c>
      <c r="G18" s="273" t="s">
        <v>3</v>
      </c>
      <c r="H18" s="273" t="s">
        <v>3</v>
      </c>
      <c r="I18" s="273" t="s">
        <v>3</v>
      </c>
      <c r="J18" s="39"/>
    </row>
    <row r="19" spans="1:10" ht="12.75">
      <c r="A19" s="39"/>
      <c r="B19" s="39" t="s">
        <v>2</v>
      </c>
      <c r="C19" s="39"/>
      <c r="D19" s="39"/>
      <c r="E19" s="39" t="s">
        <v>3</v>
      </c>
      <c r="F19" s="271">
        <f>Year0!H20</f>
        <v>30.169866666666664</v>
      </c>
      <c r="G19" s="271">
        <f>Year0!L20</f>
        <v>0</v>
      </c>
      <c r="H19" s="271">
        <f>Year0!O20</f>
        <v>48</v>
      </c>
      <c r="I19" s="271">
        <f>Year0!P20</f>
        <v>78.16986666666666</v>
      </c>
      <c r="J19" s="118"/>
    </row>
    <row r="20" spans="1:10" ht="12.75">
      <c r="A20" s="431"/>
      <c r="B20" s="7" t="s">
        <v>307</v>
      </c>
      <c r="C20" s="431"/>
      <c r="D20" s="431"/>
      <c r="E20" s="431"/>
      <c r="F20" s="271">
        <f>Year0!H21</f>
        <v>101.58159999999998</v>
      </c>
      <c r="G20" s="271">
        <f>Year0!L21</f>
        <v>0</v>
      </c>
      <c r="H20" s="271">
        <f>Year0!O21</f>
        <v>144</v>
      </c>
      <c r="I20" s="271">
        <f>Year0!P21</f>
        <v>245.58159999999998</v>
      </c>
      <c r="J20" s="118"/>
    </row>
    <row r="21" spans="1:10" ht="12.75">
      <c r="A21" s="431"/>
      <c r="B21" s="435" t="s">
        <v>213</v>
      </c>
      <c r="C21" s="431"/>
      <c r="D21" s="431"/>
      <c r="E21" s="431"/>
      <c r="F21" s="271">
        <f>Year0!H22+Year0!H23+Year0!H24</f>
        <v>105.89439999999999</v>
      </c>
      <c r="G21" s="271">
        <f>Year0!L22+Year0!L23+Year0!L24</f>
        <v>335</v>
      </c>
      <c r="H21" s="271">
        <f>Year0!O22+Year0!O23+Year0!O24</f>
        <v>216</v>
      </c>
      <c r="I21" s="271">
        <f>Year0!P22+Year0!P23+Year0!P24</f>
        <v>656.8944</v>
      </c>
      <c r="J21" s="118"/>
    </row>
    <row r="22" spans="1:10" ht="12.75">
      <c r="A22" s="431"/>
      <c r="B22" s="431" t="s">
        <v>306</v>
      </c>
      <c r="C22" s="431"/>
      <c r="D22" s="431"/>
      <c r="E22" s="431"/>
      <c r="F22" s="271">
        <f>Year0!H25</f>
        <v>6.21255</v>
      </c>
      <c r="G22" s="271">
        <f>Year0!L25</f>
        <v>16</v>
      </c>
      <c r="H22" s="271">
        <f>Year0!O25</f>
        <v>18</v>
      </c>
      <c r="I22" s="271">
        <f>Year0!P25</f>
        <v>40.21255</v>
      </c>
      <c r="J22" s="118"/>
    </row>
    <row r="23" spans="1:10" ht="12.75">
      <c r="A23" s="36" t="s">
        <v>25</v>
      </c>
      <c r="B23" s="39"/>
      <c r="C23" s="39"/>
      <c r="D23" s="39"/>
      <c r="E23" s="39"/>
      <c r="F23" s="272">
        <f>Year0!H26</f>
        <v>243.85841666666664</v>
      </c>
      <c r="G23" s="272">
        <f>Year0!L26</f>
        <v>351</v>
      </c>
      <c r="H23" s="272">
        <f>Year0!O26</f>
        <v>426</v>
      </c>
      <c r="I23" s="272">
        <f>Year0!P26</f>
        <v>1020.8584166666666</v>
      </c>
      <c r="J23" s="118"/>
    </row>
    <row r="24" spans="1:10" ht="12.75">
      <c r="A24" s="196" t="s">
        <v>196</v>
      </c>
      <c r="B24" s="120"/>
      <c r="C24" s="120"/>
      <c r="D24" s="120"/>
      <c r="E24" s="9"/>
      <c r="F24" s="273" t="s">
        <v>3</v>
      </c>
      <c r="G24" s="273" t="s">
        <v>3</v>
      </c>
      <c r="H24" s="273" t="s">
        <v>3</v>
      </c>
      <c r="I24" s="273" t="s">
        <v>3</v>
      </c>
      <c r="J24" s="39"/>
    </row>
    <row r="25" spans="1:10" ht="12.75">
      <c r="A25" s="120"/>
      <c r="B25" s="198" t="s">
        <v>198</v>
      </c>
      <c r="C25" s="120"/>
      <c r="D25" s="120"/>
      <c r="E25" s="9"/>
      <c r="F25" s="271">
        <f>Year0!H28</f>
        <v>0</v>
      </c>
      <c r="G25" s="271">
        <f>Year0!L28</f>
        <v>100</v>
      </c>
      <c r="H25" s="271">
        <f>Year0!O28</f>
        <v>0</v>
      </c>
      <c r="I25" s="271">
        <f>Year0!P28</f>
        <v>100</v>
      </c>
      <c r="J25" s="117"/>
    </row>
    <row r="26" spans="1:10" ht="12.75">
      <c r="A26" s="120"/>
      <c r="B26" s="198" t="s">
        <v>200</v>
      </c>
      <c r="C26" s="120"/>
      <c r="D26" s="120"/>
      <c r="E26" s="9"/>
      <c r="F26" s="271">
        <f>Year0!H29</f>
        <v>0</v>
      </c>
      <c r="G26" s="271">
        <f>Year0!L29</f>
        <v>40</v>
      </c>
      <c r="H26" s="271">
        <f>Year0!O29</f>
        <v>0</v>
      </c>
      <c r="I26" s="271">
        <f>Year0!P29</f>
        <v>40</v>
      </c>
      <c r="J26" s="118"/>
    </row>
    <row r="27" spans="1:10" ht="12.75">
      <c r="A27" s="120"/>
      <c r="B27" s="198" t="s">
        <v>201</v>
      </c>
      <c r="C27" s="120"/>
      <c r="D27" s="120"/>
      <c r="E27" s="9"/>
      <c r="F27" s="271">
        <f>Year0!H30</f>
        <v>0</v>
      </c>
      <c r="G27" s="271">
        <f>Year0!L30</f>
        <v>0</v>
      </c>
      <c r="H27" s="271">
        <f>Year0!O30</f>
        <v>0</v>
      </c>
      <c r="I27" s="271">
        <f>Year0!P30</f>
        <v>0</v>
      </c>
      <c r="J27" s="118"/>
    </row>
    <row r="28" spans="1:10" ht="12.75">
      <c r="A28" s="196" t="s">
        <v>204</v>
      </c>
      <c r="B28" s="196"/>
      <c r="C28" s="196"/>
      <c r="D28" s="196"/>
      <c r="E28" s="217"/>
      <c r="F28" s="272">
        <f>Year0!H31</f>
        <v>0</v>
      </c>
      <c r="G28" s="272">
        <f>Year0!L31</f>
        <v>140</v>
      </c>
      <c r="H28" s="272">
        <f>Year0!O31</f>
        <v>0</v>
      </c>
      <c r="I28" s="272">
        <f>Year0!P31</f>
        <v>140</v>
      </c>
      <c r="J28" s="118"/>
    </row>
    <row r="29" spans="1:10" ht="12.75">
      <c r="A29" s="36"/>
      <c r="B29" s="36"/>
      <c r="C29" s="36"/>
      <c r="D29" s="36"/>
      <c r="E29" s="36"/>
      <c r="F29" s="272"/>
      <c r="G29" s="272"/>
      <c r="H29" s="272"/>
      <c r="I29" s="272"/>
      <c r="J29" s="39"/>
    </row>
    <row r="30" spans="1:10" ht="12.75">
      <c r="A30" s="196" t="s">
        <v>205</v>
      </c>
      <c r="B30" s="36"/>
      <c r="C30" s="36"/>
      <c r="D30" s="36"/>
      <c r="E30" s="36"/>
      <c r="F30" s="272">
        <f>Year0!H32</f>
        <v>336.39499</v>
      </c>
      <c r="G30" s="272">
        <f>Year0!L32</f>
        <v>930.1999999999999</v>
      </c>
      <c r="H30" s="272">
        <f>Year0!O32</f>
        <v>804.3999999999999</v>
      </c>
      <c r="I30" s="272">
        <f>Year0!P32</f>
        <v>2070.99499</v>
      </c>
      <c r="J30" s="118"/>
    </row>
    <row r="31" spans="1:10" ht="12.75">
      <c r="A31" s="196" t="s">
        <v>206</v>
      </c>
      <c r="B31" s="10"/>
      <c r="C31" s="10"/>
      <c r="D31" s="10"/>
      <c r="E31" s="10"/>
      <c r="F31" s="272">
        <f>Year0!H33</f>
        <v>336.39499</v>
      </c>
      <c r="G31" s="272">
        <f>Year0!L33</f>
        <v>1070.1999999999998</v>
      </c>
      <c r="H31" s="272">
        <f>Year0!O33</f>
        <v>804.3999999999999</v>
      </c>
      <c r="I31" s="272">
        <f>Year0!P33</f>
        <v>2210.99499</v>
      </c>
      <c r="J31" s="118"/>
    </row>
  </sheetData>
  <sheetProtection password="ECAF" sheet="1" selectLockedCells="1"/>
  <mergeCells count="2">
    <mergeCell ref="A1:J1"/>
    <mergeCell ref="F5:I5"/>
  </mergeCells>
  <printOptions/>
  <pageMargins left="1" right="0"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7030A0"/>
  </sheetPr>
  <dimension ref="A1:J59"/>
  <sheetViews>
    <sheetView showGridLines="0" zoomScalePageLayoutView="0" workbookViewId="0" topLeftCell="A23">
      <selection activeCell="A1" sqref="A1:J59"/>
    </sheetView>
  </sheetViews>
  <sheetFormatPr defaultColWidth="11.421875" defaultRowHeight="12.75"/>
  <cols>
    <col min="1" max="7" width="11.421875" style="7" customWidth="1"/>
    <col min="8" max="9" width="10.7109375" style="7" customWidth="1"/>
    <col min="10" max="16384" width="11.421875" style="7" customWidth="1"/>
  </cols>
  <sheetData>
    <row r="1" spans="1:10" ht="12.75">
      <c r="A1" s="456" t="s">
        <v>186</v>
      </c>
      <c r="B1" s="456"/>
      <c r="C1" s="456"/>
      <c r="D1" s="456"/>
      <c r="E1" s="456"/>
      <c r="F1" s="456"/>
      <c r="G1" s="456"/>
      <c r="H1" s="456"/>
      <c r="I1" s="456"/>
      <c r="J1" s="456"/>
    </row>
    <row r="2" ht="13.5" thickBot="1"/>
    <row r="3" spans="1:10" ht="12.75">
      <c r="A3" s="20"/>
      <c r="B3" s="20"/>
      <c r="C3" s="20"/>
      <c r="D3" s="20"/>
      <c r="E3" s="20"/>
      <c r="F3" s="265" t="s">
        <v>50</v>
      </c>
      <c r="G3" s="265" t="s">
        <v>51</v>
      </c>
      <c r="H3" s="265" t="s">
        <v>52</v>
      </c>
      <c r="I3" s="265" t="s">
        <v>53</v>
      </c>
      <c r="J3" s="265" t="s">
        <v>93</v>
      </c>
    </row>
    <row r="4" spans="1:10" ht="13.5" thickBot="1">
      <c r="A4" s="22" t="s">
        <v>4</v>
      </c>
      <c r="B4" s="22" t="s">
        <v>94</v>
      </c>
      <c r="C4" s="22"/>
      <c r="D4" s="22"/>
      <c r="E4" s="22"/>
      <c r="F4" s="22" t="s">
        <v>73</v>
      </c>
      <c r="G4" s="266" t="s">
        <v>73</v>
      </c>
      <c r="H4" s="266" t="s">
        <v>73</v>
      </c>
      <c r="I4" s="266" t="s">
        <v>73</v>
      </c>
      <c r="J4" s="266" t="s">
        <v>73</v>
      </c>
    </row>
    <row r="5" spans="1:9" ht="12.75">
      <c r="A5" s="24"/>
      <c r="B5" s="25"/>
      <c r="C5" s="26"/>
      <c r="D5" s="27"/>
      <c r="E5" s="28"/>
      <c r="F5" s="455" t="s">
        <v>142</v>
      </c>
      <c r="G5" s="455"/>
      <c r="H5" s="455"/>
      <c r="I5" s="455"/>
    </row>
    <row r="6" spans="1:9" ht="12.75">
      <c r="A6" s="135" t="s">
        <v>27</v>
      </c>
      <c r="B6" s="126"/>
      <c r="C6" s="127"/>
      <c r="D6" s="126"/>
      <c r="E6" s="128"/>
      <c r="F6" s="124" t="s">
        <v>3</v>
      </c>
      <c r="G6" s="124" t="s">
        <v>3</v>
      </c>
      <c r="H6" s="124" t="s">
        <v>3</v>
      </c>
      <c r="I6" s="124" t="s">
        <v>3</v>
      </c>
    </row>
    <row r="7" spans="1:10" ht="12.75">
      <c r="A7" s="125"/>
      <c r="B7" s="129" t="s">
        <v>30</v>
      </c>
      <c r="C7" s="130"/>
      <c r="D7" s="131"/>
      <c r="E7" s="124" t="s">
        <v>3</v>
      </c>
      <c r="F7" s="274">
        <f>Year1!H5</f>
        <v>3.203575555555556</v>
      </c>
      <c r="G7" s="274">
        <f>Year1!L5</f>
        <v>0</v>
      </c>
      <c r="H7" s="274">
        <f>Year1!O5</f>
        <v>100</v>
      </c>
      <c r="I7" s="274">
        <f>Year1!P5</f>
        <v>103.20357555555556</v>
      </c>
      <c r="J7" s="267"/>
    </row>
    <row r="8" spans="1:10" ht="12.75">
      <c r="A8" s="123" t="s">
        <v>32</v>
      </c>
      <c r="B8" s="129"/>
      <c r="C8" s="130"/>
      <c r="D8" s="131"/>
      <c r="E8" s="124"/>
      <c r="F8" s="275">
        <f>Year1!H6</f>
        <v>3.203575555555556</v>
      </c>
      <c r="G8" s="275">
        <f>Year1!L6</f>
        <v>0</v>
      </c>
      <c r="H8" s="275">
        <f>Year1!O6</f>
        <v>100</v>
      </c>
      <c r="I8" s="275">
        <f>Year1!P6</f>
        <v>103.20357555555556</v>
      </c>
      <c r="J8" s="267"/>
    </row>
    <row r="9" spans="1:9" ht="12.75">
      <c r="A9" s="135" t="s">
        <v>23</v>
      </c>
      <c r="B9" s="126"/>
      <c r="C9" s="127"/>
      <c r="D9" s="132"/>
      <c r="E9" s="128"/>
      <c r="F9" s="274" t="s">
        <v>3</v>
      </c>
      <c r="G9" s="274" t="s">
        <v>3</v>
      </c>
      <c r="H9" s="274" t="s">
        <v>3</v>
      </c>
      <c r="I9" s="274" t="s">
        <v>3</v>
      </c>
    </row>
    <row r="10" spans="1:10" ht="12.75">
      <c r="A10" s="125"/>
      <c r="B10" s="129" t="s">
        <v>28</v>
      </c>
      <c r="C10" s="130"/>
      <c r="D10" s="131"/>
      <c r="E10" s="124" t="s">
        <v>3</v>
      </c>
      <c r="F10" s="274">
        <f>Year1!H8</f>
        <v>0</v>
      </c>
      <c r="G10" s="274">
        <f>Year1!L8</f>
        <v>5360</v>
      </c>
      <c r="H10" s="274">
        <f>Year1!O8</f>
        <v>320</v>
      </c>
      <c r="I10" s="274">
        <f>Year1!P8</f>
        <v>5680</v>
      </c>
      <c r="J10" s="267"/>
    </row>
    <row r="11" spans="1:10" ht="12.75">
      <c r="A11" s="125"/>
      <c r="B11" s="129" t="s">
        <v>218</v>
      </c>
      <c r="C11" s="130"/>
      <c r="D11" s="129"/>
      <c r="E11" s="124"/>
      <c r="F11" s="274">
        <f>Year1!H9</f>
        <v>0</v>
      </c>
      <c r="G11" s="274">
        <f>Year1!L9</f>
        <v>0</v>
      </c>
      <c r="H11" s="274">
        <f>Year1!O9</f>
        <v>50</v>
      </c>
      <c r="I11" s="274">
        <f>Year1!P9</f>
        <v>50</v>
      </c>
      <c r="J11" s="267"/>
    </row>
    <row r="12" spans="1:10" ht="12.75">
      <c r="A12" s="133"/>
      <c r="B12" s="129" t="s">
        <v>33</v>
      </c>
      <c r="C12" s="130"/>
      <c r="D12" s="131"/>
      <c r="E12" s="124" t="s">
        <v>3</v>
      </c>
      <c r="F12" s="274">
        <f>Year1!H10</f>
        <v>0</v>
      </c>
      <c r="G12" s="274">
        <f>Year1!L10</f>
        <v>2870</v>
      </c>
      <c r="H12" s="274">
        <f>Year1!O10</f>
        <v>1000</v>
      </c>
      <c r="I12" s="274">
        <f>Year1!P10</f>
        <v>3870</v>
      </c>
      <c r="J12" s="267"/>
    </row>
    <row r="13" spans="1:10" ht="12.75">
      <c r="A13" s="125"/>
      <c r="B13" s="129" t="s">
        <v>36</v>
      </c>
      <c r="C13" s="130"/>
      <c r="D13" s="131"/>
      <c r="E13" s="124" t="s">
        <v>3</v>
      </c>
      <c r="F13" s="274">
        <f>Year1!H11</f>
        <v>123.73333333333335</v>
      </c>
      <c r="G13" s="274">
        <f>Year1!L11</f>
        <v>0</v>
      </c>
      <c r="H13" s="274">
        <f>Year1!O11</f>
        <v>20</v>
      </c>
      <c r="I13" s="274">
        <f>Year1!P11</f>
        <v>143.73333333333335</v>
      </c>
      <c r="J13" s="267"/>
    </row>
    <row r="14" spans="1:10" ht="12.75">
      <c r="A14" s="125"/>
      <c r="B14" s="129" t="s">
        <v>216</v>
      </c>
      <c r="C14" s="130"/>
      <c r="D14" s="131"/>
      <c r="E14" s="124" t="s">
        <v>3</v>
      </c>
      <c r="F14" s="274">
        <f>Year1!H12</f>
        <v>15.292533333333333</v>
      </c>
      <c r="G14" s="274">
        <f>Year1!L12</f>
        <v>0</v>
      </c>
      <c r="H14" s="274">
        <f>Year1!O12</f>
        <v>12</v>
      </c>
      <c r="I14" s="274">
        <f>Year1!P12</f>
        <v>27.29253333333333</v>
      </c>
      <c r="J14" s="267"/>
    </row>
    <row r="15" spans="1:10" ht="12.75">
      <c r="A15" s="125"/>
      <c r="B15" s="129" t="s">
        <v>219</v>
      </c>
      <c r="C15" s="130"/>
      <c r="D15" s="131"/>
      <c r="E15" s="124"/>
      <c r="F15" s="274">
        <f>Year1!H13</f>
        <v>0</v>
      </c>
      <c r="G15" s="274">
        <f>Year1!L13</f>
        <v>0</v>
      </c>
      <c r="H15" s="274">
        <f>Year1!O13</f>
        <v>40</v>
      </c>
      <c r="I15" s="274">
        <f>Year1!P13</f>
        <v>40</v>
      </c>
      <c r="J15" s="267"/>
    </row>
    <row r="16" spans="1:10" ht="12.75">
      <c r="A16" s="134" t="s">
        <v>24</v>
      </c>
      <c r="B16" s="129"/>
      <c r="C16" s="130"/>
      <c r="D16" s="131"/>
      <c r="E16" s="124"/>
      <c r="F16" s="275">
        <f>Year1!H14</f>
        <v>139.02586666666667</v>
      </c>
      <c r="G16" s="275">
        <f>Year1!L14</f>
        <v>8230</v>
      </c>
      <c r="H16" s="275">
        <f>Year1!O14</f>
        <v>1442</v>
      </c>
      <c r="I16" s="275">
        <f>Year1!P14</f>
        <v>9811.025866666667</v>
      </c>
      <c r="J16" s="267"/>
    </row>
    <row r="17" spans="1:9" ht="12.75">
      <c r="A17" s="135" t="s">
        <v>16</v>
      </c>
      <c r="B17" s="126"/>
      <c r="C17" s="127"/>
      <c r="D17" s="132"/>
      <c r="E17" s="128"/>
      <c r="F17" s="274" t="s">
        <v>3</v>
      </c>
      <c r="G17" s="274" t="s">
        <v>3</v>
      </c>
      <c r="H17" s="274" t="s">
        <v>3</v>
      </c>
      <c r="I17" s="274" t="s">
        <v>3</v>
      </c>
    </row>
    <row r="18" spans="1:10" ht="12.75">
      <c r="A18" s="125"/>
      <c r="B18" s="129" t="s">
        <v>220</v>
      </c>
      <c r="C18" s="130"/>
      <c r="D18" s="131"/>
      <c r="E18" s="124" t="s">
        <v>3</v>
      </c>
      <c r="F18" s="274">
        <f>Year1!H16</f>
        <v>0</v>
      </c>
      <c r="G18" s="274">
        <f>Year1!L16</f>
        <v>180</v>
      </c>
      <c r="H18" s="274">
        <f>Year1!O16</f>
        <v>100</v>
      </c>
      <c r="I18" s="274">
        <f>Year1!P16</f>
        <v>280</v>
      </c>
      <c r="J18" s="267"/>
    </row>
    <row r="19" spans="1:10" ht="12.75">
      <c r="A19" s="125"/>
      <c r="B19" s="129" t="s">
        <v>216</v>
      </c>
      <c r="C19" s="130"/>
      <c r="D19" s="131"/>
      <c r="E19" s="124" t="s">
        <v>3</v>
      </c>
      <c r="F19" s="274">
        <f>Year1!H17</f>
        <v>15.292533333333333</v>
      </c>
      <c r="G19" s="274">
        <f>Year1!L17</f>
        <v>0</v>
      </c>
      <c r="H19" s="274">
        <f>Year1!O17</f>
        <v>12</v>
      </c>
      <c r="I19" s="274">
        <f>Year1!P17</f>
        <v>27.29253333333333</v>
      </c>
      <c r="J19" s="267"/>
    </row>
    <row r="20" spans="1:10" ht="12.75">
      <c r="A20" s="125"/>
      <c r="B20" s="129" t="s">
        <v>36</v>
      </c>
      <c r="C20" s="130"/>
      <c r="D20" s="131"/>
      <c r="E20" s="124" t="s">
        <v>3</v>
      </c>
      <c r="F20" s="274">
        <f>Year1!H18</f>
        <v>123.73333333333335</v>
      </c>
      <c r="G20" s="274">
        <f>Year1!L18</f>
        <v>0</v>
      </c>
      <c r="H20" s="274">
        <f>Year1!O18</f>
        <v>20</v>
      </c>
      <c r="I20" s="274">
        <f>Year1!P18</f>
        <v>143.73333333333335</v>
      </c>
      <c r="J20" s="267"/>
    </row>
    <row r="21" spans="1:10" ht="12.75">
      <c r="A21" s="125"/>
      <c r="B21" s="129" t="s">
        <v>219</v>
      </c>
      <c r="C21" s="130"/>
      <c r="D21" s="131"/>
      <c r="E21" s="124"/>
      <c r="F21" s="274">
        <f>Year1!H19</f>
        <v>0</v>
      </c>
      <c r="G21" s="274">
        <f>Year1!L19</f>
        <v>0</v>
      </c>
      <c r="H21" s="274">
        <f>Year1!O19</f>
        <v>40</v>
      </c>
      <c r="I21" s="274">
        <f>Year1!P19</f>
        <v>40</v>
      </c>
      <c r="J21" s="267"/>
    </row>
    <row r="22" spans="1:10" ht="12.75">
      <c r="A22" s="134" t="s">
        <v>17</v>
      </c>
      <c r="B22" s="129"/>
      <c r="C22" s="130"/>
      <c r="D22" s="131"/>
      <c r="E22" s="124"/>
      <c r="F22" s="275">
        <f>Year1!H20</f>
        <v>139.02586666666667</v>
      </c>
      <c r="G22" s="275">
        <f>Year1!L20</f>
        <v>180</v>
      </c>
      <c r="H22" s="275">
        <f>Year1!O20</f>
        <v>172</v>
      </c>
      <c r="I22" s="275">
        <f>Year1!P20</f>
        <v>491.0258666666667</v>
      </c>
      <c r="J22" s="267"/>
    </row>
    <row r="23" spans="1:9" ht="12.75">
      <c r="A23" s="135" t="s">
        <v>35</v>
      </c>
      <c r="B23" s="126"/>
      <c r="C23" s="127"/>
      <c r="D23" s="132"/>
      <c r="E23" s="128"/>
      <c r="F23" s="274" t="s">
        <v>3</v>
      </c>
      <c r="G23" s="274" t="s">
        <v>3</v>
      </c>
      <c r="H23" s="274" t="s">
        <v>3</v>
      </c>
      <c r="I23" s="274" t="s">
        <v>3</v>
      </c>
    </row>
    <row r="24" spans="1:10" ht="12.75">
      <c r="A24" s="125"/>
      <c r="B24" s="129" t="s">
        <v>220</v>
      </c>
      <c r="C24" s="130"/>
      <c r="D24" s="131"/>
      <c r="E24" s="124" t="s">
        <v>3</v>
      </c>
      <c r="F24" s="274">
        <f>Year1!H22</f>
        <v>0</v>
      </c>
      <c r="G24" s="274">
        <f>Year1!L22</f>
        <v>0</v>
      </c>
      <c r="H24" s="274">
        <f>Year1!O22</f>
        <v>100</v>
      </c>
      <c r="I24" s="274">
        <f>Year1!P22</f>
        <v>100</v>
      </c>
      <c r="J24" s="42"/>
    </row>
    <row r="25" spans="1:10" ht="12.75">
      <c r="A25" s="125"/>
      <c r="B25" s="129" t="s">
        <v>216</v>
      </c>
      <c r="C25" s="130"/>
      <c r="D25" s="131"/>
      <c r="E25" s="124"/>
      <c r="F25" s="274">
        <f>Year1!H23</f>
        <v>15.292533333333333</v>
      </c>
      <c r="G25" s="274">
        <f>Year1!L23</f>
        <v>0</v>
      </c>
      <c r="H25" s="274">
        <f>Year1!O23</f>
        <v>12</v>
      </c>
      <c r="I25" s="274">
        <f>Year1!P23</f>
        <v>27.29253333333333</v>
      </c>
      <c r="J25" s="42"/>
    </row>
    <row r="26" spans="1:10" ht="12.75">
      <c r="A26" s="125"/>
      <c r="B26" s="129" t="s">
        <v>36</v>
      </c>
      <c r="C26" s="130"/>
      <c r="D26" s="131"/>
      <c r="E26" s="124" t="s">
        <v>3</v>
      </c>
      <c r="F26" s="274">
        <f>Year1!H24</f>
        <v>123.73333333333335</v>
      </c>
      <c r="G26" s="274">
        <f>Year1!L24</f>
        <v>0</v>
      </c>
      <c r="H26" s="274">
        <f>Year1!O24</f>
        <v>20</v>
      </c>
      <c r="I26" s="274">
        <f>Year1!P24</f>
        <v>143.73333333333335</v>
      </c>
      <c r="J26" s="267"/>
    </row>
    <row r="27" spans="1:10" ht="12.75">
      <c r="A27" s="125"/>
      <c r="B27" s="129" t="s">
        <v>219</v>
      </c>
      <c r="C27" s="130"/>
      <c r="D27" s="131"/>
      <c r="E27" s="124" t="s">
        <v>3</v>
      </c>
      <c r="F27" s="274">
        <f>Year1!H25</f>
        <v>0</v>
      </c>
      <c r="G27" s="274">
        <f>Year1!L25</f>
        <v>0</v>
      </c>
      <c r="H27" s="274">
        <f>Year1!O25</f>
        <v>40</v>
      </c>
      <c r="I27" s="274">
        <f>Year1!P25</f>
        <v>40</v>
      </c>
      <c r="J27" s="267"/>
    </row>
    <row r="28" spans="1:10" ht="12.75">
      <c r="A28" s="134" t="s">
        <v>37</v>
      </c>
      <c r="B28" s="129"/>
      <c r="C28" s="130"/>
      <c r="D28" s="131"/>
      <c r="E28" s="124"/>
      <c r="F28" s="275">
        <f>Year1!H26</f>
        <v>139.02586666666667</v>
      </c>
      <c r="G28" s="275">
        <f>Year1!L26</f>
        <v>0</v>
      </c>
      <c r="H28" s="275">
        <f>Year1!O26</f>
        <v>172</v>
      </c>
      <c r="I28" s="275">
        <f>Year1!P26</f>
        <v>311.0258666666667</v>
      </c>
      <c r="J28" s="267"/>
    </row>
    <row r="29" spans="1:9" ht="12.75">
      <c r="A29" s="135" t="s">
        <v>38</v>
      </c>
      <c r="B29" s="126"/>
      <c r="C29" s="127"/>
      <c r="D29" s="132"/>
      <c r="E29" s="128"/>
      <c r="F29" s="274" t="s">
        <v>3</v>
      </c>
      <c r="G29" s="274" t="s">
        <v>3</v>
      </c>
      <c r="H29" s="274" t="s">
        <v>3</v>
      </c>
      <c r="I29" s="274" t="s">
        <v>3</v>
      </c>
    </row>
    <row r="30" spans="1:10" ht="12.75">
      <c r="A30" s="125"/>
      <c r="B30" s="129" t="s">
        <v>220</v>
      </c>
      <c r="C30" s="130"/>
      <c r="D30" s="131"/>
      <c r="E30" s="124" t="s">
        <v>3</v>
      </c>
      <c r="F30" s="274">
        <f>Year1!H28</f>
        <v>0</v>
      </c>
      <c r="G30" s="274">
        <f>Year1!L28</f>
        <v>0</v>
      </c>
      <c r="H30" s="274">
        <f>Year1!O28</f>
        <v>100</v>
      </c>
      <c r="I30" s="274">
        <f>Year1!P28</f>
        <v>100</v>
      </c>
      <c r="J30" s="42"/>
    </row>
    <row r="31" spans="1:10" ht="12.75">
      <c r="A31" s="125"/>
      <c r="B31" s="129" t="s">
        <v>216</v>
      </c>
      <c r="C31" s="130"/>
      <c r="D31" s="131"/>
      <c r="E31" s="124" t="s">
        <v>3</v>
      </c>
      <c r="F31" s="274">
        <f>Year1!H29</f>
        <v>15.292533333333333</v>
      </c>
      <c r="G31" s="274">
        <f>Year1!L29</f>
        <v>0</v>
      </c>
      <c r="H31" s="274">
        <f>Year1!O29</f>
        <v>12</v>
      </c>
      <c r="I31" s="274">
        <f>Year1!P29</f>
        <v>27.29253333333333</v>
      </c>
      <c r="J31" s="267"/>
    </row>
    <row r="32" spans="1:10" ht="12.75">
      <c r="A32" s="135"/>
      <c r="B32" s="129" t="s">
        <v>36</v>
      </c>
      <c r="C32" s="130"/>
      <c r="D32" s="131"/>
      <c r="E32" s="124" t="s">
        <v>3</v>
      </c>
      <c r="F32" s="274">
        <f>Year1!H30</f>
        <v>123.73333333333335</v>
      </c>
      <c r="G32" s="274">
        <f>Year1!L30</f>
        <v>0</v>
      </c>
      <c r="H32" s="274">
        <f>Year1!O30</f>
        <v>20</v>
      </c>
      <c r="I32" s="274">
        <f>Year1!P30</f>
        <v>143.73333333333335</v>
      </c>
      <c r="J32" s="267"/>
    </row>
    <row r="33" spans="1:10" ht="12.75">
      <c r="A33" s="134" t="s">
        <v>39</v>
      </c>
      <c r="B33" s="129"/>
      <c r="C33" s="130"/>
      <c r="D33" s="131"/>
      <c r="E33" s="124"/>
      <c r="F33" s="275">
        <f>Year1!H31</f>
        <v>139.02586666666667</v>
      </c>
      <c r="G33" s="275">
        <f>Year1!L31</f>
        <v>0</v>
      </c>
      <c r="H33" s="275">
        <f>Year1!O31</f>
        <v>132</v>
      </c>
      <c r="I33" s="275">
        <f>Year1!P31</f>
        <v>271.0258666666667</v>
      </c>
      <c r="J33" s="267"/>
    </row>
    <row r="34" spans="1:9" ht="12.75">
      <c r="A34" s="135" t="s">
        <v>40</v>
      </c>
      <c r="B34" s="126"/>
      <c r="C34" s="127"/>
      <c r="D34" s="132"/>
      <c r="E34" s="128"/>
      <c r="F34" s="274"/>
      <c r="G34" s="274"/>
      <c r="H34" s="274"/>
      <c r="I34" s="274"/>
    </row>
    <row r="35" spans="1:10" ht="12.75">
      <c r="A35" s="125"/>
      <c r="B35" s="129" t="s">
        <v>220</v>
      </c>
      <c r="C35" s="130"/>
      <c r="D35" s="131"/>
      <c r="E35" s="124" t="s">
        <v>3</v>
      </c>
      <c r="F35" s="274">
        <f>Year1!H33</f>
        <v>0</v>
      </c>
      <c r="G35" s="274">
        <f>Year1!L33</f>
        <v>0</v>
      </c>
      <c r="H35" s="274">
        <f>Year1!O33</f>
        <v>100</v>
      </c>
      <c r="I35" s="274">
        <f>Year1!P33</f>
        <v>100</v>
      </c>
      <c r="J35" s="267"/>
    </row>
    <row r="36" spans="1:10" ht="12.75">
      <c r="A36" s="125"/>
      <c r="B36" s="129" t="s">
        <v>216</v>
      </c>
      <c r="C36" s="130"/>
      <c r="D36" s="124" t="s">
        <v>3</v>
      </c>
      <c r="E36" s="136" t="s">
        <v>3</v>
      </c>
      <c r="F36" s="274">
        <f>Year1!H34</f>
        <v>15.292533333333333</v>
      </c>
      <c r="G36" s="274">
        <f>Year1!L34</f>
        <v>0</v>
      </c>
      <c r="H36" s="274">
        <f>Year1!O34</f>
        <v>12</v>
      </c>
      <c r="I36" s="274">
        <f>Year1!P34</f>
        <v>27.29253333333333</v>
      </c>
      <c r="J36" s="267"/>
    </row>
    <row r="37" spans="1:10" ht="12.75">
      <c r="A37" s="125"/>
      <c r="B37" s="129" t="s">
        <v>36</v>
      </c>
      <c r="C37" s="130"/>
      <c r="D37" s="131"/>
      <c r="E37" s="124"/>
      <c r="F37" s="274">
        <f>Year1!H35</f>
        <v>123.73333333333335</v>
      </c>
      <c r="G37" s="274">
        <f>Year1!L35</f>
        <v>0</v>
      </c>
      <c r="H37" s="274">
        <f>Year1!O35</f>
        <v>20</v>
      </c>
      <c r="I37" s="274">
        <f>Year1!P35</f>
        <v>143.73333333333335</v>
      </c>
      <c r="J37" s="267"/>
    </row>
    <row r="38" spans="1:10" ht="12.75">
      <c r="A38" s="134" t="s">
        <v>41</v>
      </c>
      <c r="B38" s="129"/>
      <c r="C38" s="130"/>
      <c r="D38" s="131"/>
      <c r="E38" s="124"/>
      <c r="F38" s="275">
        <f>Year1!H36</f>
        <v>139.02586666666667</v>
      </c>
      <c r="G38" s="275">
        <f>Year1!L36</f>
        <v>0</v>
      </c>
      <c r="H38" s="275">
        <f>Year1!O36</f>
        <v>132</v>
      </c>
      <c r="I38" s="275">
        <f>Year1!P36</f>
        <v>271.0258666666667</v>
      </c>
      <c r="J38" s="267"/>
    </row>
    <row r="39" spans="1:9" ht="12.75">
      <c r="A39" s="134" t="s">
        <v>42</v>
      </c>
      <c r="B39" s="126"/>
      <c r="C39" s="127"/>
      <c r="D39" s="132"/>
      <c r="E39" s="128"/>
      <c r="F39" s="274" t="s">
        <v>3</v>
      </c>
      <c r="G39" s="274" t="s">
        <v>3</v>
      </c>
      <c r="H39" s="274" t="s">
        <v>3</v>
      </c>
      <c r="I39" s="274" t="s">
        <v>3</v>
      </c>
    </row>
    <row r="40" spans="1:10" ht="12.75">
      <c r="A40" s="125"/>
      <c r="B40" s="129" t="s">
        <v>216</v>
      </c>
      <c r="C40" s="130"/>
      <c r="D40" s="131"/>
      <c r="E40" s="124"/>
      <c r="F40" s="274">
        <f>Year1!H38</f>
        <v>15.292533333333333</v>
      </c>
      <c r="G40" s="274">
        <f>Year1!L38</f>
        <v>0</v>
      </c>
      <c r="H40" s="274">
        <f>Year1!O38</f>
        <v>12</v>
      </c>
      <c r="I40" s="274">
        <f>Year1!P38</f>
        <v>27.29253333333333</v>
      </c>
      <c r="J40" s="267"/>
    </row>
    <row r="41" spans="1:10" ht="12.75">
      <c r="A41" s="125"/>
      <c r="B41" s="129" t="s">
        <v>36</v>
      </c>
      <c r="C41" s="130"/>
      <c r="D41" s="131"/>
      <c r="E41" s="124" t="s">
        <v>3</v>
      </c>
      <c r="F41" s="274">
        <f>Year1!H39</f>
        <v>123.73333333333335</v>
      </c>
      <c r="G41" s="274">
        <f>Year1!L39</f>
        <v>0</v>
      </c>
      <c r="H41" s="274">
        <f>Year1!O39</f>
        <v>20</v>
      </c>
      <c r="I41" s="274">
        <f>Year1!P39</f>
        <v>143.73333333333335</v>
      </c>
      <c r="J41" s="267"/>
    </row>
    <row r="42" spans="1:10" ht="12.75">
      <c r="A42" s="126" t="s">
        <v>43</v>
      </c>
      <c r="B42" s="129"/>
      <c r="C42" s="130"/>
      <c r="D42" s="131"/>
      <c r="E42" s="124"/>
      <c r="F42" s="275">
        <f>Year1!H40</f>
        <v>139.02586666666667</v>
      </c>
      <c r="G42" s="275">
        <f>Year1!L40</f>
        <v>0</v>
      </c>
      <c r="H42" s="275">
        <f>Year1!O40</f>
        <v>32</v>
      </c>
      <c r="I42" s="275">
        <f>Year1!P40</f>
        <v>171.02586666666667</v>
      </c>
      <c r="J42" s="267"/>
    </row>
    <row r="43" spans="1:9" ht="12.75">
      <c r="A43" s="134" t="s">
        <v>157</v>
      </c>
      <c r="B43" s="126"/>
      <c r="C43" s="127"/>
      <c r="D43" s="132"/>
      <c r="E43" s="128"/>
      <c r="F43" s="274" t="s">
        <v>3</v>
      </c>
      <c r="G43" s="274" t="s">
        <v>3</v>
      </c>
      <c r="H43" s="274" t="s">
        <v>3</v>
      </c>
      <c r="I43" s="274" t="s">
        <v>3</v>
      </c>
    </row>
    <row r="44" spans="1:10" ht="12.75">
      <c r="A44" s="137"/>
      <c r="B44" s="129" t="s">
        <v>221</v>
      </c>
      <c r="C44" s="127"/>
      <c r="D44" s="132"/>
      <c r="E44" s="128"/>
      <c r="F44" s="274">
        <f>Year1!H42</f>
        <v>0</v>
      </c>
      <c r="G44" s="274">
        <f>Year1!L42</f>
        <v>0</v>
      </c>
      <c r="H44" s="274">
        <f>Year1!O42</f>
        <v>260</v>
      </c>
      <c r="I44" s="274">
        <f>Year1!P42</f>
        <v>260</v>
      </c>
      <c r="J44" s="267"/>
    </row>
    <row r="45" spans="1:10" ht="12.75">
      <c r="A45" s="137"/>
      <c r="B45" s="129" t="s">
        <v>216</v>
      </c>
      <c r="C45" s="127"/>
      <c r="D45" s="132"/>
      <c r="E45" s="128"/>
      <c r="F45" s="274">
        <f>Year1!H43</f>
        <v>15.292533333333333</v>
      </c>
      <c r="G45" s="274">
        <f>Year1!L43</f>
        <v>0</v>
      </c>
      <c r="H45" s="274">
        <f>Year1!O43</f>
        <v>12</v>
      </c>
      <c r="I45" s="274">
        <f>Year1!P43</f>
        <v>27.29253333333333</v>
      </c>
      <c r="J45" s="267"/>
    </row>
    <row r="46" spans="1:10" ht="12.75">
      <c r="A46" s="125"/>
      <c r="B46" s="129" t="s">
        <v>36</v>
      </c>
      <c r="C46" s="130"/>
      <c r="D46" s="131"/>
      <c r="E46" s="124" t="s">
        <v>3</v>
      </c>
      <c r="F46" s="274">
        <f>Year1!H44</f>
        <v>123.73333333333335</v>
      </c>
      <c r="G46" s="274">
        <f>Year1!L44</f>
        <v>0</v>
      </c>
      <c r="H46" s="274">
        <f>Year1!O44</f>
        <v>20</v>
      </c>
      <c r="I46" s="274">
        <f>Year1!P44</f>
        <v>143.73333333333335</v>
      </c>
      <c r="J46" s="267"/>
    </row>
    <row r="47" spans="1:10" ht="12.75">
      <c r="A47" s="126" t="s">
        <v>153</v>
      </c>
      <c r="B47" s="129"/>
      <c r="C47" s="130"/>
      <c r="D47" s="131"/>
      <c r="E47" s="124"/>
      <c r="F47" s="275">
        <f>Year1!H45</f>
        <v>139.02586666666667</v>
      </c>
      <c r="G47" s="275">
        <f>Year1!L45</f>
        <v>0</v>
      </c>
      <c r="H47" s="275">
        <f>Year1!O45</f>
        <v>292</v>
      </c>
      <c r="I47" s="275">
        <f>Year1!P45</f>
        <v>431.0258666666667</v>
      </c>
      <c r="J47" s="267"/>
    </row>
    <row r="48" spans="1:9" ht="12.75">
      <c r="A48" s="134" t="s">
        <v>0</v>
      </c>
      <c r="B48" s="126"/>
      <c r="C48" s="127"/>
      <c r="D48" s="132"/>
      <c r="E48" s="128"/>
      <c r="F48" s="274" t="s">
        <v>3</v>
      </c>
      <c r="G48" s="274" t="s">
        <v>3</v>
      </c>
      <c r="H48" s="274" t="s">
        <v>3</v>
      </c>
      <c r="I48" s="274" t="s">
        <v>3</v>
      </c>
    </row>
    <row r="49" spans="1:10" ht="12.75">
      <c r="A49" s="137"/>
      <c r="B49" s="129" t="s">
        <v>221</v>
      </c>
      <c r="C49" s="127"/>
      <c r="D49" s="132"/>
      <c r="E49" s="128"/>
      <c r="F49" s="274">
        <f>Year1!H47</f>
        <v>0</v>
      </c>
      <c r="G49" s="274">
        <f>Year1!L47</f>
        <v>0</v>
      </c>
      <c r="H49" s="274">
        <f>Year1!O47</f>
        <v>260</v>
      </c>
      <c r="I49" s="274">
        <f>Year1!P47</f>
        <v>260</v>
      </c>
      <c r="J49" s="267"/>
    </row>
    <row r="50" spans="1:10" ht="12.75">
      <c r="A50" s="126" t="s">
        <v>1</v>
      </c>
      <c r="B50" s="129"/>
      <c r="C50" s="130"/>
      <c r="D50" s="131"/>
      <c r="E50" s="124"/>
      <c r="F50" s="275">
        <f>Year1!H48</f>
        <v>0</v>
      </c>
      <c r="G50" s="275">
        <f>Year1!L48</f>
        <v>0</v>
      </c>
      <c r="H50" s="275">
        <f>Year1!O48</f>
        <v>260</v>
      </c>
      <c r="I50" s="275">
        <f>Year1!P48</f>
        <v>260</v>
      </c>
      <c r="J50" s="267"/>
    </row>
    <row r="51" spans="1:9" ht="12.75">
      <c r="A51" s="268" t="s">
        <v>196</v>
      </c>
      <c r="B51" s="120"/>
      <c r="C51" s="127"/>
      <c r="D51" s="132"/>
      <c r="E51" s="128"/>
      <c r="F51" s="274" t="s">
        <v>3</v>
      </c>
      <c r="G51" s="274" t="s">
        <v>3</v>
      </c>
      <c r="H51" s="274" t="s">
        <v>3</v>
      </c>
      <c r="I51" s="274" t="s">
        <v>3</v>
      </c>
    </row>
    <row r="52" spans="1:10" ht="12.75">
      <c r="A52" s="269"/>
      <c r="B52" s="198" t="s">
        <v>198</v>
      </c>
      <c r="C52" s="130"/>
      <c r="D52" s="129"/>
      <c r="E52" s="120"/>
      <c r="F52" s="274">
        <f>Year1!H50</f>
        <v>0</v>
      </c>
      <c r="G52" s="274">
        <f>Year1!L50</f>
        <v>100</v>
      </c>
      <c r="H52" s="274">
        <f>Year1!O50</f>
        <v>0</v>
      </c>
      <c r="I52" s="274">
        <f>Year1!P50</f>
        <v>100</v>
      </c>
      <c r="J52" s="42"/>
    </row>
    <row r="53" spans="1:10" ht="12.75">
      <c r="A53" s="269"/>
      <c r="B53" s="198" t="s">
        <v>200</v>
      </c>
      <c r="C53" s="130"/>
      <c r="D53" s="129"/>
      <c r="E53" s="120"/>
      <c r="F53" s="274">
        <f>Year1!H51</f>
        <v>0</v>
      </c>
      <c r="G53" s="274">
        <f>Year1!L51</f>
        <v>40</v>
      </c>
      <c r="H53" s="274">
        <f>Year1!O51</f>
        <v>0</v>
      </c>
      <c r="I53" s="274">
        <f>Year1!P51</f>
        <v>40</v>
      </c>
      <c r="J53" s="267"/>
    </row>
    <row r="54" spans="1:10" ht="12.75">
      <c r="A54" s="269"/>
      <c r="B54" s="198" t="s">
        <v>201</v>
      </c>
      <c r="C54" s="130"/>
      <c r="D54" s="129"/>
      <c r="E54" s="120"/>
      <c r="F54" s="274">
        <f>Year1!H52</f>
        <v>0</v>
      </c>
      <c r="G54" s="274">
        <f>Year1!L52</f>
        <v>0</v>
      </c>
      <c r="H54" s="274">
        <f>Year1!O52</f>
        <v>0</v>
      </c>
      <c r="I54" s="274">
        <f>Year1!P52</f>
        <v>0</v>
      </c>
      <c r="J54" s="267"/>
    </row>
    <row r="55" spans="1:10" ht="12.75">
      <c r="A55" s="269"/>
      <c r="B55" s="198" t="s">
        <v>222</v>
      </c>
      <c r="C55" s="130"/>
      <c r="D55" s="131"/>
      <c r="E55" s="124" t="s">
        <v>3</v>
      </c>
      <c r="F55" s="274">
        <f>Year1!H53</f>
        <v>0</v>
      </c>
      <c r="G55" s="274">
        <f>Year1!L53</f>
        <v>830</v>
      </c>
      <c r="H55" s="274">
        <f>Year1!O53</f>
        <v>0</v>
      </c>
      <c r="I55" s="274">
        <f>Year1!P53</f>
        <v>830</v>
      </c>
      <c r="J55" s="267"/>
    </row>
    <row r="56" spans="1:10" s="1" customFormat="1" ht="12.75">
      <c r="A56" s="196" t="s">
        <v>204</v>
      </c>
      <c r="B56" s="196"/>
      <c r="C56" s="127"/>
      <c r="D56" s="132"/>
      <c r="E56" s="128"/>
      <c r="F56" s="275">
        <f>Year1!H54</f>
        <v>0</v>
      </c>
      <c r="G56" s="275">
        <f>Year1!L54</f>
        <v>970</v>
      </c>
      <c r="H56" s="275">
        <f>Year1!O54</f>
        <v>0</v>
      </c>
      <c r="I56" s="275">
        <f>Year1!P54</f>
        <v>970</v>
      </c>
      <c r="J56" s="270"/>
    </row>
    <row r="57" spans="1:10" s="1" customFormat="1" ht="12.75">
      <c r="A57" s="196"/>
      <c r="B57" s="196"/>
      <c r="C57" s="127"/>
      <c r="D57" s="132"/>
      <c r="E57" s="128"/>
      <c r="F57" s="275"/>
      <c r="G57" s="275"/>
      <c r="H57" s="275"/>
      <c r="I57" s="275"/>
      <c r="J57" s="270"/>
    </row>
    <row r="58" spans="1:10" s="1" customFormat="1" ht="12.75">
      <c r="A58" s="196" t="s">
        <v>205</v>
      </c>
      <c r="B58" s="196"/>
      <c r="C58" s="127"/>
      <c r="D58" s="132"/>
      <c r="E58" s="128"/>
      <c r="F58" s="275">
        <f>Year1!H55</f>
        <v>976.384642222222</v>
      </c>
      <c r="G58" s="275">
        <f>Year1!L55</f>
        <v>8410</v>
      </c>
      <c r="H58" s="275">
        <f>Year1!O55</f>
        <v>2734</v>
      </c>
      <c r="I58" s="275">
        <f>Year1!P55</f>
        <v>12120.384642222223</v>
      </c>
      <c r="J58" s="270"/>
    </row>
    <row r="59" spans="1:10" s="1" customFormat="1" ht="12.75">
      <c r="A59" s="196" t="s">
        <v>206</v>
      </c>
      <c r="B59" s="196"/>
      <c r="C59" s="127"/>
      <c r="D59" s="132"/>
      <c r="E59" s="128"/>
      <c r="F59" s="275">
        <f>Year1!H56</f>
        <v>976.384642222222</v>
      </c>
      <c r="G59" s="275">
        <f>Year1!L56</f>
        <v>9380</v>
      </c>
      <c r="H59" s="275">
        <f>Year1!O56</f>
        <v>2734</v>
      </c>
      <c r="I59" s="275">
        <f>Year1!P56</f>
        <v>13090.384642222223</v>
      </c>
      <c r="J59" s="270"/>
    </row>
  </sheetData>
  <sheetProtection password="ECAF" sheet="1" selectLockedCells="1"/>
  <mergeCells count="2">
    <mergeCell ref="A1:J1"/>
    <mergeCell ref="F5:I5"/>
  </mergeCells>
  <printOptions/>
  <pageMargins left="1" right="0"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7030A0"/>
  </sheetPr>
  <dimension ref="A1:J84"/>
  <sheetViews>
    <sheetView zoomScalePageLayoutView="0" workbookViewId="0" topLeftCell="A40">
      <selection activeCell="A1" sqref="A1:J82"/>
    </sheetView>
  </sheetViews>
  <sheetFormatPr defaultColWidth="8.8515625" defaultRowHeight="12.75"/>
  <cols>
    <col min="1" max="5" width="8.8515625" style="0" customWidth="1"/>
    <col min="6" max="6" width="9.28125" style="0" bestFit="1" customWidth="1"/>
    <col min="7" max="8" width="11.00390625" style="0" customWidth="1"/>
    <col min="9" max="9" width="12.7109375" style="0" customWidth="1"/>
    <col min="10" max="10" width="15.421875" style="0" customWidth="1"/>
  </cols>
  <sheetData>
    <row r="1" spans="1:10" ht="12.75">
      <c r="A1" s="457" t="s">
        <v>187</v>
      </c>
      <c r="B1" s="457"/>
      <c r="C1" s="457"/>
      <c r="D1" s="457"/>
      <c r="E1" s="457"/>
      <c r="F1" s="457"/>
      <c r="G1" s="457"/>
      <c r="H1" s="457"/>
      <c r="I1" s="457"/>
      <c r="J1" s="457"/>
    </row>
    <row r="2" spans="1:10" ht="13.5" thickBot="1">
      <c r="A2" s="7"/>
      <c r="B2" s="7"/>
      <c r="C2" s="7"/>
      <c r="D2" s="7"/>
      <c r="E2" s="7"/>
      <c r="F2" s="7"/>
      <c r="G2" s="7"/>
      <c r="H2" s="7"/>
      <c r="I2" s="7"/>
      <c r="J2" s="7"/>
    </row>
    <row r="3" spans="1:10" ht="12.75">
      <c r="A3" s="20"/>
      <c r="B3" s="20"/>
      <c r="C3" s="20"/>
      <c r="D3" s="20"/>
      <c r="E3" s="20"/>
      <c r="F3" s="265" t="s">
        <v>50</v>
      </c>
      <c r="G3" s="265" t="s">
        <v>51</v>
      </c>
      <c r="H3" s="265" t="s">
        <v>52</v>
      </c>
      <c r="I3" s="265" t="s">
        <v>53</v>
      </c>
      <c r="J3" s="265" t="s">
        <v>93</v>
      </c>
    </row>
    <row r="4" spans="1:10" ht="13.5" thickBot="1">
      <c r="A4" s="22" t="s">
        <v>4</v>
      </c>
      <c r="B4" s="22" t="s">
        <v>94</v>
      </c>
      <c r="C4" s="22"/>
      <c r="D4" s="22"/>
      <c r="E4" s="22"/>
      <c r="F4" s="22" t="s">
        <v>73</v>
      </c>
      <c r="G4" s="266" t="s">
        <v>73</v>
      </c>
      <c r="H4" s="266" t="s">
        <v>73</v>
      </c>
      <c r="I4" s="266" t="s">
        <v>73</v>
      </c>
      <c r="J4" s="266" t="s">
        <v>73</v>
      </c>
    </row>
    <row r="5" spans="6:10" ht="12.75">
      <c r="F5" s="455" t="s">
        <v>142</v>
      </c>
      <c r="G5" s="455"/>
      <c r="H5" s="455"/>
      <c r="I5" s="455"/>
      <c r="J5" s="7"/>
    </row>
    <row r="6" spans="1:10" ht="12.75">
      <c r="A6" s="329" t="s">
        <v>27</v>
      </c>
      <c r="B6" s="196"/>
      <c r="C6" s="56"/>
      <c r="D6" s="56"/>
      <c r="E6" s="56"/>
      <c r="F6" s="333" t="s">
        <v>3</v>
      </c>
      <c r="G6" s="139" t="s">
        <v>3</v>
      </c>
      <c r="H6" s="139" t="s">
        <v>3</v>
      </c>
      <c r="I6" s="139" t="s">
        <v>3</v>
      </c>
      <c r="J6" s="138"/>
    </row>
    <row r="7" spans="1:10" ht="12.75">
      <c r="A7" s="330"/>
      <c r="B7" s="129" t="s">
        <v>217</v>
      </c>
      <c r="C7" s="120"/>
      <c r="D7" s="56"/>
      <c r="E7" s="56"/>
      <c r="F7" s="336">
        <f>Year2!H5</f>
        <v>0.832188</v>
      </c>
      <c r="G7" s="337">
        <f>Year2!L5</f>
        <v>0</v>
      </c>
      <c r="H7" s="337">
        <f>Year2!O5</f>
        <v>100</v>
      </c>
      <c r="I7" s="337">
        <f>Year2!P5</f>
        <v>100.832188</v>
      </c>
      <c r="J7" s="338"/>
    </row>
    <row r="8" spans="1:10" ht="12.75">
      <c r="A8" s="330"/>
      <c r="B8" s="120" t="s">
        <v>313</v>
      </c>
      <c r="C8" s="121"/>
      <c r="D8" s="56"/>
      <c r="E8" s="56"/>
      <c r="F8" s="336">
        <f>Year2!H6+Year2!H7+Year2!H8</f>
        <v>65.10933333333334</v>
      </c>
      <c r="G8" s="336">
        <f>Year2!L6+Year2!L7+Year2!L8</f>
        <v>21.76</v>
      </c>
      <c r="H8" s="336">
        <f>Year2!O6+Year2!O7+Year2!O8</f>
        <v>40</v>
      </c>
      <c r="I8" s="336">
        <f>Year2!P6+Year2!P7+Year2!P8</f>
        <v>126.86933333333334</v>
      </c>
      <c r="J8" s="339"/>
    </row>
    <row r="9" spans="1:10" ht="12.75">
      <c r="A9" s="329" t="s">
        <v>32</v>
      </c>
      <c r="B9" s="120"/>
      <c r="C9" s="56"/>
      <c r="D9" s="56"/>
      <c r="E9" s="56"/>
      <c r="F9" s="340">
        <f>Year2!H9</f>
        <v>65.94152133333334</v>
      </c>
      <c r="G9" s="341">
        <f>Year2!L9</f>
        <v>21.76</v>
      </c>
      <c r="H9" s="341">
        <f>Year2!O9</f>
        <v>140</v>
      </c>
      <c r="I9" s="341">
        <f>Year2!P9</f>
        <v>227.70152133333335</v>
      </c>
      <c r="J9" s="339"/>
    </row>
    <row r="10" spans="1:10" ht="12.75">
      <c r="A10" s="329" t="s">
        <v>23</v>
      </c>
      <c r="B10" s="196"/>
      <c r="C10" s="56"/>
      <c r="D10" s="56"/>
      <c r="E10" s="56"/>
      <c r="F10" s="336" t="s">
        <v>3</v>
      </c>
      <c r="G10" s="337" t="s">
        <v>3</v>
      </c>
      <c r="H10" s="337" t="s">
        <v>3</v>
      </c>
      <c r="I10" s="337" t="s">
        <v>3</v>
      </c>
      <c r="J10" s="337"/>
    </row>
    <row r="11" spans="1:10" ht="12.75">
      <c r="A11" s="330"/>
      <c r="B11" s="120" t="s">
        <v>224</v>
      </c>
      <c r="C11" s="56"/>
      <c r="D11" s="56"/>
      <c r="E11" s="56"/>
      <c r="F11" s="336">
        <f>Year2!H11</f>
        <v>0</v>
      </c>
      <c r="G11" s="337">
        <f>Year2!L11</f>
        <v>0</v>
      </c>
      <c r="H11" s="337">
        <f>Year2!O11</f>
        <v>960</v>
      </c>
      <c r="I11" s="337">
        <f>Year2!P11</f>
        <v>960</v>
      </c>
      <c r="J11" s="338"/>
    </row>
    <row r="12" spans="1:10" ht="12.75">
      <c r="A12" s="330"/>
      <c r="B12" s="129" t="s">
        <v>216</v>
      </c>
      <c r="C12" s="56"/>
      <c r="D12" s="56"/>
      <c r="E12" s="56"/>
      <c r="F12" s="336">
        <f>Year2!H12</f>
        <v>15.292533333333333</v>
      </c>
      <c r="G12" s="337">
        <f>Year2!L12</f>
        <v>0</v>
      </c>
      <c r="H12" s="337">
        <f>Year2!O12</f>
        <v>12</v>
      </c>
      <c r="I12" s="337">
        <f>Year2!P12</f>
        <v>27.29253333333333</v>
      </c>
      <c r="J12" s="339"/>
    </row>
    <row r="13" spans="1:10" ht="12.75">
      <c r="A13" s="330"/>
      <c r="B13" s="129" t="s">
        <v>36</v>
      </c>
      <c r="C13" s="56"/>
      <c r="D13" s="56"/>
      <c r="E13" s="56"/>
      <c r="F13" s="336">
        <f>Year2!H13</f>
        <v>123.73333333333335</v>
      </c>
      <c r="G13" s="337">
        <f>Year2!L13</f>
        <v>0</v>
      </c>
      <c r="H13" s="337">
        <f>Year2!O13</f>
        <v>20</v>
      </c>
      <c r="I13" s="337">
        <f>Year2!P13</f>
        <v>143.73333333333335</v>
      </c>
      <c r="J13" s="339"/>
    </row>
    <row r="14" spans="1:10" ht="12.75">
      <c r="A14" s="330"/>
      <c r="B14" s="435" t="s">
        <v>313</v>
      </c>
      <c r="C14" s="121"/>
      <c r="D14" s="434"/>
      <c r="E14" s="434"/>
      <c r="F14" s="336">
        <f>Year2!H14+Year2!H15+Year2!H16</f>
        <v>65.10933333333334</v>
      </c>
      <c r="G14" s="336">
        <f>Year2!L14+Year2!L15+Year2!L16</f>
        <v>21.76</v>
      </c>
      <c r="H14" s="336">
        <f>Year2!O14+Year2!O15+Year2!O16</f>
        <v>40</v>
      </c>
      <c r="I14" s="336">
        <f>Year2!P14+Year2!P15+Year2!P16</f>
        <v>126.86933333333334</v>
      </c>
      <c r="J14" s="339"/>
    </row>
    <row r="15" spans="1:10" ht="12.75">
      <c r="A15" s="330"/>
      <c r="B15" s="129" t="s">
        <v>240</v>
      </c>
      <c r="C15" s="56"/>
      <c r="D15" s="56"/>
      <c r="E15" s="56"/>
      <c r="F15" s="336">
        <f>Year2!H17</f>
        <v>0</v>
      </c>
      <c r="G15" s="337">
        <f>Year2!L17</f>
        <v>150</v>
      </c>
      <c r="H15" s="337">
        <f>Year2!O17</f>
        <v>0</v>
      </c>
      <c r="I15" s="337">
        <f>Year2!P17</f>
        <v>150</v>
      </c>
      <c r="J15" s="339"/>
    </row>
    <row r="16" spans="1:10" ht="12.75">
      <c r="A16" s="329" t="s">
        <v>24</v>
      </c>
      <c r="B16" s="120"/>
      <c r="C16" s="56"/>
      <c r="D16" s="56"/>
      <c r="E16" s="56"/>
      <c r="F16" s="340">
        <f>Year2!H18</f>
        <v>204.1352</v>
      </c>
      <c r="G16" s="341">
        <f>Year2!L18</f>
        <v>171.76</v>
      </c>
      <c r="H16" s="341">
        <f>Year2!O18</f>
        <v>1032</v>
      </c>
      <c r="I16" s="341">
        <f>Year2!P18</f>
        <v>1407.8952000000002</v>
      </c>
      <c r="J16" s="339"/>
    </row>
    <row r="17" spans="1:10" ht="12.75">
      <c r="A17" s="329" t="s">
        <v>16</v>
      </c>
      <c r="B17" s="196"/>
      <c r="C17" s="56"/>
      <c r="D17" s="56"/>
      <c r="E17" s="56"/>
      <c r="F17" s="336" t="s">
        <v>3</v>
      </c>
      <c r="G17" s="337" t="s">
        <v>3</v>
      </c>
      <c r="H17" s="337" t="s">
        <v>3</v>
      </c>
      <c r="I17" s="337" t="s">
        <v>3</v>
      </c>
      <c r="J17" s="337"/>
    </row>
    <row r="18" spans="1:10" ht="12.75">
      <c r="A18" s="331"/>
      <c r="B18" s="129" t="s">
        <v>220</v>
      </c>
      <c r="C18" s="56"/>
      <c r="D18" s="56"/>
      <c r="E18" s="56"/>
      <c r="F18" s="336">
        <f>Year2!H20</f>
        <v>0</v>
      </c>
      <c r="G18" s="337">
        <f>Year2!L20</f>
        <v>0</v>
      </c>
      <c r="H18" s="337">
        <f>Year2!O20</f>
        <v>100</v>
      </c>
      <c r="I18" s="337">
        <f>Year2!P20</f>
        <v>100</v>
      </c>
      <c r="J18" s="338"/>
    </row>
    <row r="19" spans="1:10" ht="12.75">
      <c r="A19" s="331"/>
      <c r="B19" s="129" t="s">
        <v>216</v>
      </c>
      <c r="C19" s="56"/>
      <c r="D19" s="56"/>
      <c r="E19" s="56"/>
      <c r="F19" s="336">
        <f>Year2!H21</f>
        <v>15.292533333333333</v>
      </c>
      <c r="G19" s="337">
        <f>Year2!L21</f>
        <v>0</v>
      </c>
      <c r="H19" s="337">
        <f>Year2!O21</f>
        <v>12</v>
      </c>
      <c r="I19" s="337">
        <f>Year2!P21</f>
        <v>27.29253333333333</v>
      </c>
      <c r="J19" s="338"/>
    </row>
    <row r="20" spans="1:10" ht="12.75">
      <c r="A20" s="331"/>
      <c r="B20" s="129" t="s">
        <v>36</v>
      </c>
      <c r="C20" s="56"/>
      <c r="D20" s="56"/>
      <c r="E20" s="56"/>
      <c r="F20" s="336">
        <f>Year2!H22</f>
        <v>123.73333333333335</v>
      </c>
      <c r="G20" s="337">
        <f>Year2!L22</f>
        <v>0</v>
      </c>
      <c r="H20" s="337">
        <f>Year2!O22</f>
        <v>20</v>
      </c>
      <c r="I20" s="337">
        <f>Year2!P22</f>
        <v>143.73333333333335</v>
      </c>
      <c r="J20" s="339"/>
    </row>
    <row r="21" spans="1:10" ht="12.75">
      <c r="A21" s="331"/>
      <c r="B21" s="435" t="s">
        <v>313</v>
      </c>
      <c r="C21" s="121"/>
      <c r="D21" s="434"/>
      <c r="E21" s="434"/>
      <c r="F21" s="336">
        <f>Year2!H23+Year2!H24+Year2!H25</f>
        <v>65.10933333333334</v>
      </c>
      <c r="G21" s="336">
        <f>Year2!L23+Year2!L24+Year2!L25</f>
        <v>21.76</v>
      </c>
      <c r="H21" s="336">
        <f>Year2!O23+Year2!O24+Year2!O25</f>
        <v>40</v>
      </c>
      <c r="I21" s="336">
        <f>Year2!P23+Year2!P24+Year2!P25</f>
        <v>126.86933333333334</v>
      </c>
      <c r="J21" s="339"/>
    </row>
    <row r="22" spans="1:10" ht="12.75">
      <c r="A22" s="331"/>
      <c r="B22" s="129" t="s">
        <v>283</v>
      </c>
      <c r="C22" s="56"/>
      <c r="D22" s="56"/>
      <c r="E22" s="56"/>
      <c r="F22" s="336">
        <f>Year2!H26+Year2!H27+Year2!H28</f>
        <v>28.964399999999998</v>
      </c>
      <c r="G22" s="336">
        <f>Year2!L26+Year2!L27+Year2!L28</f>
        <v>289.2</v>
      </c>
      <c r="H22" s="336">
        <f>Year2!O26+Year2!O27+Year2!O28</f>
        <v>18</v>
      </c>
      <c r="I22" s="336">
        <f>Year2!P26+Year2!P27+Year2!P28</f>
        <v>336.1644</v>
      </c>
      <c r="J22" s="339"/>
    </row>
    <row r="23" spans="1:10" ht="12.75">
      <c r="A23" s="331"/>
      <c r="B23" s="129" t="s">
        <v>219</v>
      </c>
      <c r="D23" s="56"/>
      <c r="E23" s="56"/>
      <c r="F23" s="336">
        <f>Year2!H29</f>
        <v>0</v>
      </c>
      <c r="G23" s="337">
        <f>Year2!L29</f>
        <v>0</v>
      </c>
      <c r="H23" s="337">
        <f>Year2!O29</f>
        <v>40</v>
      </c>
      <c r="I23" s="337">
        <f>Year2!P29</f>
        <v>40</v>
      </c>
      <c r="J23" s="339"/>
    </row>
    <row r="24" spans="1:10" ht="12.75">
      <c r="A24" s="330"/>
      <c r="B24" s="120" t="s">
        <v>241</v>
      </c>
      <c r="C24" s="56"/>
      <c r="D24" s="56"/>
      <c r="E24" s="56"/>
      <c r="F24" s="336">
        <f>Year2!H30</f>
        <v>0</v>
      </c>
      <c r="G24" s="337">
        <f>Year2!L30</f>
        <v>150</v>
      </c>
      <c r="H24" s="337">
        <f>Year2!O30</f>
        <v>0</v>
      </c>
      <c r="I24" s="337">
        <f>Year2!P30</f>
        <v>150</v>
      </c>
      <c r="J24" s="339"/>
    </row>
    <row r="25" spans="1:10" ht="12.75">
      <c r="A25" s="329" t="s">
        <v>17</v>
      </c>
      <c r="B25" s="120"/>
      <c r="C25" s="56"/>
      <c r="D25" s="56"/>
      <c r="E25" s="56"/>
      <c r="F25" s="340">
        <f>Year2!H31</f>
        <v>233.09959999999998</v>
      </c>
      <c r="G25" s="341">
        <f>Year2!L31</f>
        <v>460.96</v>
      </c>
      <c r="H25" s="341">
        <f>Year2!O31</f>
        <v>230</v>
      </c>
      <c r="I25" s="341">
        <f>Year2!P31</f>
        <v>924.0596</v>
      </c>
      <c r="J25" s="339"/>
    </row>
    <row r="26" spans="1:10" ht="12.75">
      <c r="A26" s="329" t="s">
        <v>35</v>
      </c>
      <c r="B26" s="196"/>
      <c r="C26" s="56"/>
      <c r="D26" s="56"/>
      <c r="E26" s="56"/>
      <c r="F26" s="336" t="s">
        <v>3</v>
      </c>
      <c r="G26" s="337" t="s">
        <v>3</v>
      </c>
      <c r="H26" s="337" t="s">
        <v>3</v>
      </c>
      <c r="I26" s="337" t="s">
        <v>3</v>
      </c>
      <c r="J26" s="337"/>
    </row>
    <row r="27" spans="1:10" ht="12.75">
      <c r="A27" s="331"/>
      <c r="B27" s="129" t="s">
        <v>220</v>
      </c>
      <c r="C27" s="56"/>
      <c r="D27" s="56"/>
      <c r="E27" s="56"/>
      <c r="F27" s="336">
        <f>Year2!H33</f>
        <v>0</v>
      </c>
      <c r="G27" s="337">
        <f>Year2!L33</f>
        <v>0</v>
      </c>
      <c r="H27" s="337">
        <f>Year2!O33</f>
        <v>100</v>
      </c>
      <c r="I27" s="337">
        <f>Year2!P33</f>
        <v>100</v>
      </c>
      <c r="J27" s="338"/>
    </row>
    <row r="28" spans="1:10" ht="12.75">
      <c r="A28" s="331"/>
      <c r="B28" s="129" t="s">
        <v>216</v>
      </c>
      <c r="C28" s="56"/>
      <c r="D28" s="56"/>
      <c r="E28" s="56"/>
      <c r="F28" s="336">
        <f>Year2!H34</f>
        <v>15.292533333333333</v>
      </c>
      <c r="G28" s="337">
        <f>Year2!L34</f>
        <v>0</v>
      </c>
      <c r="H28" s="337">
        <f>Year2!O34</f>
        <v>12</v>
      </c>
      <c r="I28" s="337">
        <f>Year2!P34</f>
        <v>27.29253333333333</v>
      </c>
      <c r="J28" s="339"/>
    </row>
    <row r="29" spans="1:10" ht="12.75">
      <c r="A29" s="331"/>
      <c r="B29" s="129" t="s">
        <v>36</v>
      </c>
      <c r="C29" s="56"/>
      <c r="D29" s="56"/>
      <c r="E29" s="56"/>
      <c r="F29" s="336">
        <f>Year2!H35</f>
        <v>123.73333333333335</v>
      </c>
      <c r="G29" s="337">
        <f>Year2!L35</f>
        <v>0</v>
      </c>
      <c r="H29" s="337">
        <f>Year2!O35</f>
        <v>20</v>
      </c>
      <c r="I29" s="337">
        <f>Year2!P35</f>
        <v>143.73333333333335</v>
      </c>
      <c r="J29" s="339"/>
    </row>
    <row r="30" spans="1:10" ht="12.75">
      <c r="A30" s="331"/>
      <c r="B30" s="435" t="s">
        <v>313</v>
      </c>
      <c r="C30" s="121"/>
      <c r="D30" s="434"/>
      <c r="E30" s="434"/>
      <c r="F30" s="336">
        <f>Year2!H36+Year2!H37+Year2!H38</f>
        <v>65.10933333333334</v>
      </c>
      <c r="G30" s="336">
        <f>Year2!L36+Year2!L37+Year2!L38</f>
        <v>21.76</v>
      </c>
      <c r="H30" s="336">
        <f>Year2!O36+Year2!O37+Year2!O38</f>
        <v>40</v>
      </c>
      <c r="I30" s="336">
        <f>Year2!P36+Year2!P37+Year2!P38</f>
        <v>126.86933333333334</v>
      </c>
      <c r="J30" s="339"/>
    </row>
    <row r="31" spans="1:10" ht="12.75">
      <c r="A31" s="331"/>
      <c r="B31" s="129" t="s">
        <v>283</v>
      </c>
      <c r="C31" s="56"/>
      <c r="D31" s="56"/>
      <c r="E31" s="56"/>
      <c r="F31" s="336">
        <f>Year2!H39+Year2!H40</f>
        <v>19.3096</v>
      </c>
      <c r="G31" s="336">
        <f>Year2!L39+Year2!L40</f>
        <v>193.2</v>
      </c>
      <c r="H31" s="336">
        <f>Year2!O39+Year2!O40</f>
        <v>12</v>
      </c>
      <c r="I31" s="336">
        <f>Year2!P39+Year2!P40</f>
        <v>224.50959999999998</v>
      </c>
      <c r="J31" s="339"/>
    </row>
    <row r="32" spans="1:10" ht="12.75">
      <c r="A32" s="331"/>
      <c r="B32" s="129" t="s">
        <v>219</v>
      </c>
      <c r="C32" s="56"/>
      <c r="D32" s="56"/>
      <c r="E32" s="56"/>
      <c r="F32" s="336">
        <f>Year2!H41</f>
        <v>0</v>
      </c>
      <c r="G32" s="337">
        <f>Year2!L41</f>
        <v>0</v>
      </c>
      <c r="H32" s="337">
        <f>Year2!O41</f>
        <v>40</v>
      </c>
      <c r="I32" s="337">
        <f>Year2!P41</f>
        <v>40</v>
      </c>
      <c r="J32" s="339"/>
    </row>
    <row r="33" spans="1:10" ht="12.75">
      <c r="A33" s="330"/>
      <c r="B33" s="120" t="s">
        <v>241</v>
      </c>
      <c r="C33" s="56"/>
      <c r="D33" s="56"/>
      <c r="E33" s="56"/>
      <c r="F33" s="336">
        <f>Year2!H42</f>
        <v>0</v>
      </c>
      <c r="G33" s="337">
        <f>Year2!L42</f>
        <v>150</v>
      </c>
      <c r="H33" s="337">
        <f>Year2!O42</f>
        <v>0</v>
      </c>
      <c r="I33" s="337">
        <f>Year2!P42</f>
        <v>150</v>
      </c>
      <c r="J33" s="339"/>
    </row>
    <row r="34" spans="1:10" ht="12.75">
      <c r="A34" s="329" t="s">
        <v>37</v>
      </c>
      <c r="B34" s="120"/>
      <c r="C34" s="56"/>
      <c r="D34" s="56"/>
      <c r="E34" s="56"/>
      <c r="F34" s="340">
        <f>Year2!H43</f>
        <v>223.4448</v>
      </c>
      <c r="G34" s="341">
        <f>Year2!L43</f>
        <v>364.96</v>
      </c>
      <c r="H34" s="341">
        <f>Year2!O43</f>
        <v>224</v>
      </c>
      <c r="I34" s="341">
        <f>Year2!P43</f>
        <v>812.4048</v>
      </c>
      <c r="J34" s="339"/>
    </row>
    <row r="35" spans="1:10" ht="12.75">
      <c r="A35" s="329" t="s">
        <v>38</v>
      </c>
      <c r="B35" s="196"/>
      <c r="C35" s="56"/>
      <c r="D35" s="56"/>
      <c r="E35" s="56"/>
      <c r="F35" s="336" t="s">
        <v>3</v>
      </c>
      <c r="G35" s="337" t="s">
        <v>3</v>
      </c>
      <c r="H35" s="337" t="s">
        <v>3</v>
      </c>
      <c r="I35" s="337" t="s">
        <v>3</v>
      </c>
      <c r="J35" s="337"/>
    </row>
    <row r="36" spans="1:10" ht="12.75">
      <c r="A36" s="329"/>
      <c r="B36" s="120" t="s">
        <v>47</v>
      </c>
      <c r="C36" s="56"/>
      <c r="D36" s="56"/>
      <c r="E36" s="56"/>
      <c r="F36" s="336">
        <f>Year2!H45</f>
        <v>0</v>
      </c>
      <c r="G36" s="337">
        <f>Year2!L45</f>
        <v>5</v>
      </c>
      <c r="H36" s="337">
        <f>Year2!O45</f>
        <v>0</v>
      </c>
      <c r="I36" s="337">
        <f>Year2!P45</f>
        <v>5</v>
      </c>
      <c r="J36" s="339"/>
    </row>
    <row r="37" spans="1:10" ht="12.75">
      <c r="A37" s="329"/>
      <c r="B37" s="120" t="s">
        <v>48</v>
      </c>
      <c r="C37" s="56"/>
      <c r="D37" s="56"/>
      <c r="E37" s="56"/>
      <c r="F37" s="336">
        <f>Year2!H46</f>
        <v>4.266666666666667</v>
      </c>
      <c r="G37" s="337">
        <f>Year2!L46</f>
        <v>0</v>
      </c>
      <c r="H37" s="337">
        <f>Year2!O46</f>
        <v>960</v>
      </c>
      <c r="I37" s="337">
        <f>Year2!P46</f>
        <v>964.2666666666667</v>
      </c>
      <c r="J37" s="339"/>
    </row>
    <row r="38" spans="1:10" ht="12.75">
      <c r="A38" s="331"/>
      <c r="B38" s="129" t="s">
        <v>220</v>
      </c>
      <c r="C38" s="56"/>
      <c r="D38" s="56"/>
      <c r="E38" s="56"/>
      <c r="F38" s="336">
        <f>Year2!H47</f>
        <v>0</v>
      </c>
      <c r="G38" s="337">
        <f>Year2!L47</f>
        <v>0</v>
      </c>
      <c r="H38" s="337">
        <f>Year2!O47</f>
        <v>100</v>
      </c>
      <c r="I38" s="337">
        <f>Year2!P47</f>
        <v>100</v>
      </c>
      <c r="J38" s="339"/>
    </row>
    <row r="39" spans="1:10" ht="12.75">
      <c r="A39" s="331"/>
      <c r="B39" s="129" t="s">
        <v>216</v>
      </c>
      <c r="C39" s="56"/>
      <c r="D39" s="56"/>
      <c r="E39" s="56"/>
      <c r="F39" s="336">
        <f>Year2!H48</f>
        <v>15.292533333333333</v>
      </c>
      <c r="G39" s="337">
        <f>Year2!L48</f>
        <v>0</v>
      </c>
      <c r="H39" s="337">
        <f>Year2!O48</f>
        <v>12</v>
      </c>
      <c r="I39" s="337">
        <f>Year2!P48</f>
        <v>27.29253333333333</v>
      </c>
      <c r="J39" s="339"/>
    </row>
    <row r="40" spans="1:10" ht="12.75">
      <c r="A40" s="331"/>
      <c r="B40" s="129" t="s">
        <v>36</v>
      </c>
      <c r="C40" s="56"/>
      <c r="D40" s="56"/>
      <c r="E40" s="56"/>
      <c r="F40" s="336">
        <f>Year2!H49</f>
        <v>123.73333333333335</v>
      </c>
      <c r="G40" s="337">
        <f>Year2!L49</f>
        <v>0</v>
      </c>
      <c r="H40" s="337">
        <f>Year2!O49</f>
        <v>20</v>
      </c>
      <c r="I40" s="337">
        <f>Year2!P49</f>
        <v>143.73333333333335</v>
      </c>
      <c r="J40" s="339"/>
    </row>
    <row r="41" spans="1:10" ht="12.75">
      <c r="A41" s="329" t="s">
        <v>39</v>
      </c>
      <c r="B41" s="120"/>
      <c r="C41" s="56"/>
      <c r="D41" s="56"/>
      <c r="E41" s="56"/>
      <c r="F41" s="340">
        <f>Year2!H50</f>
        <v>143.29253333333335</v>
      </c>
      <c r="G41" s="341">
        <f>Year2!L50</f>
        <v>5</v>
      </c>
      <c r="H41" s="341">
        <f>Year2!O50</f>
        <v>1092</v>
      </c>
      <c r="I41" s="341">
        <f>Year2!P50</f>
        <v>1240.2925333333333</v>
      </c>
      <c r="J41" s="339"/>
    </row>
    <row r="42" spans="1:10" ht="12.75">
      <c r="A42" s="329" t="s">
        <v>40</v>
      </c>
      <c r="B42" s="196"/>
      <c r="C42" s="56"/>
      <c r="D42" s="56"/>
      <c r="E42" s="56"/>
      <c r="F42" s="336" t="s">
        <v>3</v>
      </c>
      <c r="G42" s="337" t="s">
        <v>3</v>
      </c>
      <c r="H42" s="337" t="s">
        <v>3</v>
      </c>
      <c r="I42" s="337" t="s">
        <v>3</v>
      </c>
      <c r="J42" s="337"/>
    </row>
    <row r="43" spans="1:10" ht="12.75">
      <c r="A43" s="331"/>
      <c r="B43" s="129" t="s">
        <v>220</v>
      </c>
      <c r="C43" s="56"/>
      <c r="D43" s="56"/>
      <c r="E43" s="56"/>
      <c r="F43" s="336">
        <f>Year2!H52</f>
        <v>0</v>
      </c>
      <c r="G43" s="337">
        <f>Year2!L52</f>
        <v>0</v>
      </c>
      <c r="H43" s="337">
        <f>Year2!O52</f>
        <v>100</v>
      </c>
      <c r="I43" s="337">
        <f>Year2!P52</f>
        <v>100</v>
      </c>
      <c r="J43" s="338"/>
    </row>
    <row r="44" spans="1:10" ht="12.75">
      <c r="A44" s="331"/>
      <c r="B44" s="129" t="s">
        <v>216</v>
      </c>
      <c r="C44" s="56"/>
      <c r="D44" s="56"/>
      <c r="E44" s="56"/>
      <c r="F44" s="336">
        <f>Year2!H53</f>
        <v>15.292533333333333</v>
      </c>
      <c r="G44" s="337">
        <f>Year2!L53</f>
        <v>0</v>
      </c>
      <c r="H44" s="337">
        <f>Year2!O53</f>
        <v>12</v>
      </c>
      <c r="I44" s="337">
        <f>Year2!P53</f>
        <v>27.29253333333333</v>
      </c>
      <c r="J44" s="339"/>
    </row>
    <row r="45" spans="1:10" ht="12.75">
      <c r="A45" s="331"/>
      <c r="B45" s="435" t="s">
        <v>313</v>
      </c>
      <c r="C45" s="121"/>
      <c r="D45" s="434"/>
      <c r="E45" s="434"/>
      <c r="F45" s="336">
        <f>Year2!H54+Year2!H55+Year2!H56</f>
        <v>65.10933333333334</v>
      </c>
      <c r="G45" s="336">
        <f>Year2!L54+Year2!L55+Year2!L56</f>
        <v>21.76</v>
      </c>
      <c r="H45" s="336">
        <f>Year2!O54+Year2!O55+Year2!O56</f>
        <v>40</v>
      </c>
      <c r="I45" s="336">
        <f>Year2!P54+Year2!P55+Year2!P56</f>
        <v>126.86933333333334</v>
      </c>
      <c r="J45" s="339"/>
    </row>
    <row r="46" spans="1:10" ht="12.75">
      <c r="A46" s="331"/>
      <c r="B46" s="129" t="s">
        <v>36</v>
      </c>
      <c r="C46" s="56"/>
      <c r="D46" s="56"/>
      <c r="E46" s="56"/>
      <c r="F46" s="336">
        <f>Year2!H57</f>
        <v>123.73333333333335</v>
      </c>
      <c r="G46" s="337">
        <f>Year2!L57</f>
        <v>0</v>
      </c>
      <c r="H46" s="337">
        <f>Year2!O57</f>
        <v>20</v>
      </c>
      <c r="I46" s="337">
        <f>Year2!P57</f>
        <v>143.73333333333335</v>
      </c>
      <c r="J46" s="339"/>
    </row>
    <row r="47" spans="1:10" ht="12.75">
      <c r="A47" s="329" t="s">
        <v>41</v>
      </c>
      <c r="B47" s="120"/>
      <c r="C47" s="56"/>
      <c r="D47" s="56"/>
      <c r="E47" s="56"/>
      <c r="F47" s="340">
        <f>Year2!H58</f>
        <v>204.13520000000003</v>
      </c>
      <c r="G47" s="341">
        <f>Year2!L58</f>
        <v>21.76</v>
      </c>
      <c r="H47" s="341">
        <f>Year2!O58</f>
        <v>172</v>
      </c>
      <c r="I47" s="341">
        <f>Year2!P58</f>
        <v>397.8952</v>
      </c>
      <c r="J47" s="339"/>
    </row>
    <row r="48" spans="1:10" ht="12.75">
      <c r="A48" s="332" t="s">
        <v>42</v>
      </c>
      <c r="B48" s="127"/>
      <c r="C48" s="56"/>
      <c r="D48" s="56"/>
      <c r="E48" s="56"/>
      <c r="F48" s="336" t="s">
        <v>3</v>
      </c>
      <c r="G48" s="337" t="s">
        <v>3</v>
      </c>
      <c r="H48" s="337" t="s">
        <v>3</v>
      </c>
      <c r="I48" s="337" t="s">
        <v>3</v>
      </c>
      <c r="J48" s="337"/>
    </row>
    <row r="49" spans="1:10" ht="12.75">
      <c r="A49" s="331"/>
      <c r="B49" s="129" t="s">
        <v>216</v>
      </c>
      <c r="C49" s="120"/>
      <c r="D49" s="56"/>
      <c r="E49" s="56"/>
      <c r="F49" s="336">
        <f>Year2!H60</f>
        <v>15.292533333333333</v>
      </c>
      <c r="G49" s="337">
        <f>Year2!L60</f>
        <v>0</v>
      </c>
      <c r="H49" s="337">
        <f>Year2!O60</f>
        <v>12</v>
      </c>
      <c r="I49" s="337">
        <f>Year2!P60</f>
        <v>27.29253333333333</v>
      </c>
      <c r="J49" s="338"/>
    </row>
    <row r="50" spans="1:10" ht="12.75">
      <c r="A50" s="331"/>
      <c r="B50" s="129" t="s">
        <v>36</v>
      </c>
      <c r="C50" s="120"/>
      <c r="D50" s="333"/>
      <c r="E50" s="136"/>
      <c r="F50" s="336">
        <f>Year2!H61</f>
        <v>123.73333333333335</v>
      </c>
      <c r="G50" s="337">
        <f>Year2!L61</f>
        <v>0</v>
      </c>
      <c r="H50" s="337">
        <f>Year2!O61</f>
        <v>20</v>
      </c>
      <c r="I50" s="337">
        <f>Year2!P61</f>
        <v>143.73333333333335</v>
      </c>
      <c r="J50" s="339"/>
    </row>
    <row r="51" spans="1:10" ht="12.75">
      <c r="A51" s="329" t="s">
        <v>43</v>
      </c>
      <c r="B51" s="130"/>
      <c r="C51" s="56"/>
      <c r="D51" s="56"/>
      <c r="E51" s="56"/>
      <c r="F51" s="340">
        <f>Year2!H62</f>
        <v>139.02586666666667</v>
      </c>
      <c r="G51" s="341">
        <f>Year2!L62</f>
        <v>0</v>
      </c>
      <c r="H51" s="341">
        <f>Year2!O62</f>
        <v>32</v>
      </c>
      <c r="I51" s="341">
        <f>Year2!P62</f>
        <v>171.02586666666667</v>
      </c>
      <c r="J51" s="339"/>
    </row>
    <row r="52" spans="1:10" ht="12.75">
      <c r="A52" s="134" t="s">
        <v>15</v>
      </c>
      <c r="B52" s="127"/>
      <c r="C52" s="56"/>
      <c r="D52" s="56"/>
      <c r="E52" s="56"/>
      <c r="F52" s="336" t="s">
        <v>3</v>
      </c>
      <c r="G52" s="337" t="s">
        <v>3</v>
      </c>
      <c r="H52" s="337" t="s">
        <v>3</v>
      </c>
      <c r="I52" s="337" t="s">
        <v>3</v>
      </c>
      <c r="J52" s="337"/>
    </row>
    <row r="53" spans="1:10" ht="12.75">
      <c r="A53" s="331"/>
      <c r="B53" s="129" t="s">
        <v>221</v>
      </c>
      <c r="C53" s="56"/>
      <c r="D53" s="56"/>
      <c r="E53" s="56"/>
      <c r="F53" s="336">
        <f>Year2!H64</f>
        <v>0</v>
      </c>
      <c r="G53" s="337">
        <f>Year2!L64</f>
        <v>0</v>
      </c>
      <c r="H53" s="337">
        <f>Year2!O64</f>
        <v>260</v>
      </c>
      <c r="I53" s="337">
        <f>Year2!P64</f>
        <v>260</v>
      </c>
      <c r="J53" s="338"/>
    </row>
    <row r="54" spans="1:10" ht="12.75">
      <c r="A54" s="331"/>
      <c r="B54" s="129" t="s">
        <v>216</v>
      </c>
      <c r="C54" s="56"/>
      <c r="D54" s="56"/>
      <c r="E54" s="56"/>
      <c r="F54" s="336">
        <f>Year2!H65</f>
        <v>15.292533333333333</v>
      </c>
      <c r="G54" s="337">
        <f>Year2!L65</f>
        <v>0</v>
      </c>
      <c r="H54" s="337">
        <f>Year2!O65</f>
        <v>12</v>
      </c>
      <c r="I54" s="337">
        <f>Year2!P65</f>
        <v>27.29253333333333</v>
      </c>
      <c r="J54" s="338"/>
    </row>
    <row r="55" spans="1:10" ht="12.75">
      <c r="A55" s="331"/>
      <c r="B55" s="129" t="s">
        <v>36</v>
      </c>
      <c r="C55" s="56"/>
      <c r="D55" s="56"/>
      <c r="E55" s="56"/>
      <c r="F55" s="336">
        <f>Year2!H66</f>
        <v>123.73333333333335</v>
      </c>
      <c r="G55" s="337">
        <f>Year2!L66</f>
        <v>0</v>
      </c>
      <c r="H55" s="337">
        <f>Year2!O66</f>
        <v>20</v>
      </c>
      <c r="I55" s="337">
        <f>Year2!P66</f>
        <v>143.73333333333335</v>
      </c>
      <c r="J55" s="338"/>
    </row>
    <row r="56" spans="1:10" ht="12.75">
      <c r="A56" s="329" t="s">
        <v>153</v>
      </c>
      <c r="B56" s="130"/>
      <c r="C56" s="56"/>
      <c r="D56" s="56"/>
      <c r="E56" s="56"/>
      <c r="F56" s="340">
        <f>Year2!H67</f>
        <v>139.02586666666667</v>
      </c>
      <c r="G56" s="341">
        <f>Year2!L67</f>
        <v>0</v>
      </c>
      <c r="H56" s="341">
        <f>Year2!O67</f>
        <v>292</v>
      </c>
      <c r="I56" s="341">
        <f>Year2!P67</f>
        <v>431.0258666666667</v>
      </c>
      <c r="J56" s="339"/>
    </row>
    <row r="57" spans="1:10" ht="12.75">
      <c r="A57" s="329" t="s">
        <v>0</v>
      </c>
      <c r="B57" s="196"/>
      <c r="C57" s="56"/>
      <c r="D57" s="56"/>
      <c r="E57" s="56"/>
      <c r="F57" s="336" t="s">
        <v>3</v>
      </c>
      <c r="G57" s="337" t="s">
        <v>3</v>
      </c>
      <c r="H57" s="337" t="s">
        <v>3</v>
      </c>
      <c r="I57" s="337" t="s">
        <v>3</v>
      </c>
      <c r="J57" s="337"/>
    </row>
    <row r="58" spans="1:10" ht="12.75">
      <c r="A58" s="329"/>
      <c r="B58" s="129" t="s">
        <v>221</v>
      </c>
      <c r="C58" s="56"/>
      <c r="D58" s="56"/>
      <c r="E58" s="56"/>
      <c r="F58" s="336">
        <f>Year2!H69</f>
        <v>0</v>
      </c>
      <c r="G58" s="337">
        <f>Year2!L69</f>
        <v>0</v>
      </c>
      <c r="H58" s="337">
        <f>Year2!O69</f>
        <v>260</v>
      </c>
      <c r="I58" s="337">
        <f>Year2!P69</f>
        <v>260</v>
      </c>
      <c r="J58" s="338"/>
    </row>
    <row r="59" spans="1:10" ht="12.75">
      <c r="A59" s="329"/>
      <c r="B59" s="120" t="s">
        <v>284</v>
      </c>
      <c r="C59" s="56"/>
      <c r="D59" s="56"/>
      <c r="E59" s="56"/>
      <c r="F59" s="336">
        <f>Year2!H70</f>
        <v>9.6548</v>
      </c>
      <c r="G59" s="337">
        <f>Year2!L70</f>
        <v>96</v>
      </c>
      <c r="H59" s="337">
        <f>Year2!O70</f>
        <v>6</v>
      </c>
      <c r="I59" s="337">
        <f>Year2!P70</f>
        <v>111.6548</v>
      </c>
      <c r="J59" s="337"/>
    </row>
    <row r="60" spans="1:10" ht="12.75">
      <c r="A60" s="329"/>
      <c r="B60" s="120" t="s">
        <v>49</v>
      </c>
      <c r="C60" s="56"/>
      <c r="D60" s="56"/>
      <c r="E60" s="56"/>
      <c r="F60" s="336">
        <f>Year2!H71</f>
        <v>0</v>
      </c>
      <c r="G60" s="337">
        <f>Year2!L71</f>
        <v>0</v>
      </c>
      <c r="H60" s="337">
        <f>Year2!O71</f>
        <v>200</v>
      </c>
      <c r="I60" s="337">
        <f>Year2!P71</f>
        <v>200</v>
      </c>
      <c r="J60" s="339"/>
    </row>
    <row r="61" spans="1:10" ht="12.75">
      <c r="A61" s="329" t="s">
        <v>1</v>
      </c>
      <c r="B61" s="120"/>
      <c r="C61" s="328"/>
      <c r="D61" s="328"/>
      <c r="E61" s="328"/>
      <c r="F61" s="340">
        <f>Year2!H72</f>
        <v>9.6548</v>
      </c>
      <c r="G61" s="341">
        <f>Year2!L72</f>
        <v>96</v>
      </c>
      <c r="H61" s="341">
        <f>Year2!O72</f>
        <v>466</v>
      </c>
      <c r="I61" s="341">
        <f>Year2!P72</f>
        <v>571.6548</v>
      </c>
      <c r="J61" s="342"/>
    </row>
    <row r="62" spans="1:10" ht="12.75">
      <c r="A62" s="329" t="s">
        <v>233</v>
      </c>
      <c r="B62" s="130"/>
      <c r="C62" s="56"/>
      <c r="D62" s="56"/>
      <c r="E62" s="56"/>
      <c r="F62" s="336" t="s">
        <v>3</v>
      </c>
      <c r="G62" s="337" t="s">
        <v>3</v>
      </c>
      <c r="H62" s="337" t="s">
        <v>3</v>
      </c>
      <c r="I62" s="337" t="s">
        <v>3</v>
      </c>
      <c r="J62" s="337"/>
    </row>
    <row r="63" spans="1:10" ht="12.75">
      <c r="A63" s="329"/>
      <c r="B63" s="129" t="s">
        <v>226</v>
      </c>
      <c r="C63" s="56"/>
      <c r="D63" s="56"/>
      <c r="E63" s="56"/>
      <c r="F63" s="336">
        <f>Year2!H74</f>
        <v>0</v>
      </c>
      <c r="G63" s="337">
        <f>Year2!L74</f>
        <v>3128.8888888888896</v>
      </c>
      <c r="H63" s="337">
        <f>Year2!O74</f>
        <v>4977.777777777778</v>
      </c>
      <c r="I63" s="337">
        <f>Year2!P74</f>
        <v>8106.666666666668</v>
      </c>
      <c r="J63" s="338"/>
    </row>
    <row r="64" spans="1:10" ht="12.75">
      <c r="A64" s="329"/>
      <c r="B64" s="129" t="s">
        <v>228</v>
      </c>
      <c r="C64" s="56"/>
      <c r="D64" s="56"/>
      <c r="E64" s="56"/>
      <c r="F64" s="336">
        <f>Year2!H75</f>
        <v>0</v>
      </c>
      <c r="G64" s="337">
        <f>Year2!L75</f>
        <v>150</v>
      </c>
      <c r="H64" s="337">
        <f>Year2!O75</f>
        <v>600</v>
      </c>
      <c r="I64" s="337">
        <f>Year2!P75</f>
        <v>750</v>
      </c>
      <c r="J64" s="338"/>
    </row>
    <row r="65" spans="1:10" ht="12.75">
      <c r="A65" s="329"/>
      <c r="B65" s="129" t="s">
        <v>230</v>
      </c>
      <c r="C65" s="56"/>
      <c r="D65" s="56"/>
      <c r="E65" s="56"/>
      <c r="F65" s="336">
        <f>Year2!H76</f>
        <v>0</v>
      </c>
      <c r="G65" s="337">
        <f>Year2!L76</f>
        <v>0</v>
      </c>
      <c r="H65" s="337">
        <f>Year2!O76</f>
        <v>711.1111111111112</v>
      </c>
      <c r="I65" s="337">
        <f>Year2!P76</f>
        <v>711.1111111111112</v>
      </c>
      <c r="J65" s="338"/>
    </row>
    <row r="66" spans="1:10" ht="12.75">
      <c r="A66" s="329"/>
      <c r="B66" s="129" t="s">
        <v>234</v>
      </c>
      <c r="C66" s="56"/>
      <c r="D66" s="56"/>
      <c r="E66" s="56"/>
      <c r="F66" s="336">
        <f>Year2!H77</f>
        <v>0</v>
      </c>
      <c r="G66" s="337">
        <f>Year2!L77</f>
        <v>0</v>
      </c>
      <c r="H66" s="337">
        <f>Year2!O77</f>
        <v>355.5555555555556</v>
      </c>
      <c r="I66" s="337">
        <f>Year2!P77</f>
        <v>355.5555555555556</v>
      </c>
      <c r="J66" s="338"/>
    </row>
    <row r="67" spans="1:10" ht="12.75">
      <c r="A67" s="329"/>
      <c r="B67" s="129" t="s">
        <v>236</v>
      </c>
      <c r="C67" s="56"/>
      <c r="D67" s="56"/>
      <c r="E67" s="56"/>
      <c r="F67" s="336">
        <f>Year2!H79</f>
        <v>219.83333333333334</v>
      </c>
      <c r="G67" s="337">
        <f>Year2!L79</f>
        <v>0</v>
      </c>
      <c r="H67" s="337">
        <f>Year2!O79</f>
        <v>360</v>
      </c>
      <c r="I67" s="337">
        <f>Year2!P79</f>
        <v>579.8333333333334</v>
      </c>
      <c r="J67" s="338"/>
    </row>
    <row r="68" spans="1:10" ht="12.75">
      <c r="A68" s="329"/>
      <c r="B68" s="129" t="s">
        <v>235</v>
      </c>
      <c r="C68" s="56"/>
      <c r="D68" s="56"/>
      <c r="E68" s="56"/>
      <c r="F68" s="336">
        <f>Year2!H80</f>
        <v>822.87</v>
      </c>
      <c r="G68" s="337">
        <f>Year2!L80</f>
        <v>0</v>
      </c>
      <c r="H68" s="337">
        <f>Year2!O80</f>
        <v>540</v>
      </c>
      <c r="I68" s="337">
        <f>Year2!P80</f>
        <v>1362.87</v>
      </c>
      <c r="J68" s="338"/>
    </row>
    <row r="69" spans="1:10" ht="12.75">
      <c r="A69" s="329" t="s">
        <v>232</v>
      </c>
      <c r="B69" s="130"/>
      <c r="C69" s="56"/>
      <c r="D69" s="56"/>
      <c r="E69" s="56"/>
      <c r="F69" s="340">
        <f>Year2!H81</f>
        <v>2205.9176190476187</v>
      </c>
      <c r="G69" s="341">
        <f>Year2!L81</f>
        <v>3278.8888888888896</v>
      </c>
      <c r="H69" s="341">
        <f>Year2!O81</f>
        <v>7544.444444444445</v>
      </c>
      <c r="I69" s="341">
        <f>Year2!P81</f>
        <v>13029.250952380953</v>
      </c>
      <c r="J69" s="343"/>
    </row>
    <row r="70" spans="1:10" ht="12.75">
      <c r="A70" s="196" t="s">
        <v>196</v>
      </c>
      <c r="B70" s="120"/>
      <c r="C70" s="56"/>
      <c r="D70" s="56"/>
      <c r="E70" s="56"/>
      <c r="F70" s="271"/>
      <c r="G70" s="271"/>
      <c r="H70" s="271"/>
      <c r="I70" s="271"/>
      <c r="J70" s="271"/>
    </row>
    <row r="71" spans="1:10" ht="12.75">
      <c r="A71" s="120"/>
      <c r="B71" s="198" t="s">
        <v>198</v>
      </c>
      <c r="C71" s="56"/>
      <c r="D71" s="56"/>
      <c r="E71" s="56"/>
      <c r="F71" s="336">
        <f>Year2!H83</f>
        <v>0</v>
      </c>
      <c r="G71" s="337">
        <f>Year2!L83</f>
        <v>100</v>
      </c>
      <c r="H71" s="337">
        <f>Year2!O83</f>
        <v>0</v>
      </c>
      <c r="I71" s="337">
        <f>Year2!P83</f>
        <v>100</v>
      </c>
      <c r="J71" s="338"/>
    </row>
    <row r="72" spans="1:10" ht="12.75">
      <c r="A72" s="120"/>
      <c r="B72" s="198" t="s">
        <v>200</v>
      </c>
      <c r="C72" s="56"/>
      <c r="D72" s="56"/>
      <c r="E72" s="56"/>
      <c r="F72" s="336">
        <f>Year2!H84</f>
        <v>0</v>
      </c>
      <c r="G72" s="337">
        <f>Year2!L84</f>
        <v>40</v>
      </c>
      <c r="H72" s="337">
        <f>Year2!O84</f>
        <v>0</v>
      </c>
      <c r="I72" s="337">
        <f>Year2!P84</f>
        <v>40</v>
      </c>
      <c r="J72" s="338"/>
    </row>
    <row r="73" spans="1:10" ht="12.75">
      <c r="A73" s="120"/>
      <c r="B73" s="198" t="s">
        <v>201</v>
      </c>
      <c r="C73" s="56"/>
      <c r="D73" s="56"/>
      <c r="E73" s="56"/>
      <c r="F73" s="336">
        <f>Year2!H85</f>
        <v>0</v>
      </c>
      <c r="G73" s="337">
        <f>Year2!L85</f>
        <v>0</v>
      </c>
      <c r="H73" s="337">
        <f>Year2!O85</f>
        <v>0</v>
      </c>
      <c r="I73" s="337">
        <f>Year2!P85</f>
        <v>0</v>
      </c>
      <c r="J73" s="338"/>
    </row>
    <row r="74" spans="1:10" ht="12.75">
      <c r="A74" s="120"/>
      <c r="B74" s="198" t="s">
        <v>222</v>
      </c>
      <c r="C74" s="56"/>
      <c r="D74" s="56"/>
      <c r="E74" s="56"/>
      <c r="F74" s="336">
        <f>Year2!H86</f>
        <v>0</v>
      </c>
      <c r="G74" s="337">
        <f>Year2!L86</f>
        <v>830</v>
      </c>
      <c r="H74" s="337">
        <f>Year2!O86</f>
        <v>0</v>
      </c>
      <c r="I74" s="337">
        <f>Year2!P86</f>
        <v>830</v>
      </c>
      <c r="J74" s="338"/>
    </row>
    <row r="75" spans="1:10" ht="12.75">
      <c r="A75" s="120"/>
      <c r="B75" s="198" t="s">
        <v>202</v>
      </c>
      <c r="C75" s="56"/>
      <c r="D75" s="56"/>
      <c r="E75" s="56"/>
      <c r="F75" s="336">
        <f>Year2!H87</f>
        <v>0</v>
      </c>
      <c r="G75" s="337">
        <f>Year2!L87</f>
        <v>400</v>
      </c>
      <c r="H75" s="337">
        <f>Year2!O87</f>
        <v>0</v>
      </c>
      <c r="I75" s="337">
        <f>Year2!P87</f>
        <v>400</v>
      </c>
      <c r="J75" s="338"/>
    </row>
    <row r="76" spans="1:10" ht="12.75">
      <c r="A76" s="120"/>
      <c r="B76" s="198" t="s">
        <v>203</v>
      </c>
      <c r="C76" s="56"/>
      <c r="D76" s="56"/>
      <c r="E76" s="56"/>
      <c r="F76" s="336">
        <f>Year2!H88</f>
        <v>0</v>
      </c>
      <c r="G76" s="337">
        <f>Year2!L88</f>
        <v>400</v>
      </c>
      <c r="H76" s="337">
        <f>Year2!O88</f>
        <v>0</v>
      </c>
      <c r="I76" s="337">
        <f>Year2!P88</f>
        <v>400</v>
      </c>
      <c r="J76" s="338"/>
    </row>
    <row r="77" spans="1:10" ht="12.75">
      <c r="A77" s="120"/>
      <c r="B77" s="198" t="s">
        <v>290</v>
      </c>
      <c r="C77" s="56"/>
      <c r="D77" s="56"/>
      <c r="E77" s="56"/>
      <c r="F77" s="336">
        <f>Year2!H89</f>
        <v>0</v>
      </c>
      <c r="G77" s="337">
        <f>Year2!L89</f>
        <v>1000</v>
      </c>
      <c r="H77" s="337">
        <f>Year2!O89</f>
        <v>0</v>
      </c>
      <c r="I77" s="337">
        <f>Year2!P89</f>
        <v>1000</v>
      </c>
      <c r="J77" s="338"/>
    </row>
    <row r="78" spans="1:10" ht="12.75">
      <c r="A78" s="196" t="s">
        <v>204</v>
      </c>
      <c r="B78" s="120"/>
      <c r="C78" s="56"/>
      <c r="D78" s="56"/>
      <c r="E78" s="56"/>
      <c r="F78" s="340">
        <f>Year2!H90</f>
        <v>0</v>
      </c>
      <c r="G78" s="341">
        <f>Year2!L90</f>
        <v>2770</v>
      </c>
      <c r="H78" s="341">
        <f>Year2!O90</f>
        <v>0</v>
      </c>
      <c r="I78" s="341">
        <f>Year2!P90</f>
        <v>2770</v>
      </c>
      <c r="J78" s="343"/>
    </row>
    <row r="79" spans="1:10" ht="12.75">
      <c r="A79" s="196"/>
      <c r="B79" s="120"/>
      <c r="C79" s="56"/>
      <c r="D79" s="56"/>
      <c r="E79" s="56"/>
      <c r="F79" s="340"/>
      <c r="G79" s="341"/>
      <c r="H79" s="341"/>
      <c r="I79" s="341"/>
      <c r="J79" s="343"/>
    </row>
    <row r="80" spans="1:10" ht="12.75">
      <c r="A80" s="196" t="s">
        <v>238</v>
      </c>
      <c r="B80" s="120"/>
      <c r="C80" s="35"/>
      <c r="D80" s="35"/>
      <c r="E80" s="35"/>
      <c r="F80" s="340">
        <f>Year2!H91</f>
        <v>1361.755388</v>
      </c>
      <c r="G80" s="341">
        <f>Year2!L91</f>
        <v>1142.2</v>
      </c>
      <c r="H80" s="341">
        <f>Year2!O91</f>
        <v>3680</v>
      </c>
      <c r="I80" s="341">
        <f>Year2!P91</f>
        <v>6183.955388000001</v>
      </c>
      <c r="J80" s="343"/>
    </row>
    <row r="81" spans="1:10" ht="12.75">
      <c r="A81" s="196" t="s">
        <v>239</v>
      </c>
      <c r="B81" s="120"/>
      <c r="C81" s="35"/>
      <c r="D81" s="35"/>
      <c r="E81" s="35"/>
      <c r="F81" s="340">
        <f>Year2!H92</f>
        <v>3567.6730070476187</v>
      </c>
      <c r="G81" s="341">
        <f>Year2!L92</f>
        <v>4421.088888888889</v>
      </c>
      <c r="H81" s="341">
        <f>Year2!O92</f>
        <v>11224.444444444445</v>
      </c>
      <c r="I81" s="341">
        <f>Year2!P92</f>
        <v>19213.206340380955</v>
      </c>
      <c r="J81" s="343"/>
    </row>
    <row r="82" spans="1:10" ht="12.75">
      <c r="A82" s="196" t="s">
        <v>206</v>
      </c>
      <c r="B82" s="120"/>
      <c r="C82" s="35"/>
      <c r="D82" s="35"/>
      <c r="E82" s="35"/>
      <c r="F82" s="340">
        <f>Year2!H93</f>
        <v>3567.6730070476187</v>
      </c>
      <c r="G82" s="341">
        <f>Year2!L93</f>
        <v>7191.088888888889</v>
      </c>
      <c r="H82" s="341">
        <f>Year2!O93</f>
        <v>11224.444444444445</v>
      </c>
      <c r="I82" s="341">
        <f>Year2!P93</f>
        <v>21983.206340380955</v>
      </c>
      <c r="J82" s="343"/>
    </row>
    <row r="83" spans="1:6" ht="12.75">
      <c r="A83" s="35"/>
      <c r="B83" s="35"/>
      <c r="C83" s="35"/>
      <c r="D83" s="35"/>
      <c r="E83" s="35"/>
      <c r="F83" s="35"/>
    </row>
    <row r="84" spans="1:6" ht="12.75">
      <c r="A84" s="35"/>
      <c r="B84" s="35"/>
      <c r="C84" s="35"/>
      <c r="D84" s="35"/>
      <c r="E84" s="35"/>
      <c r="F84" s="35"/>
    </row>
  </sheetData>
  <sheetProtection password="ECAF" sheet="1" selectLockedCells="1"/>
  <mergeCells count="2">
    <mergeCell ref="A1:J1"/>
    <mergeCell ref="F5:I5"/>
  </mergeCells>
  <printOptions/>
  <pageMargins left="1" right="0"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A1:J112"/>
  <sheetViews>
    <sheetView showGridLines="0" zoomScalePageLayoutView="0" workbookViewId="0" topLeftCell="A48">
      <selection activeCell="A1" sqref="A1:J89"/>
    </sheetView>
  </sheetViews>
  <sheetFormatPr defaultColWidth="8.8515625" defaultRowHeight="12.75"/>
  <cols>
    <col min="1" max="5" width="8.8515625" style="0" customWidth="1"/>
    <col min="6" max="7" width="9.28125" style="0" bestFit="1" customWidth="1"/>
    <col min="8" max="9" width="9.8515625" style="0" bestFit="1" customWidth="1"/>
    <col min="10" max="10" width="12.140625" style="0" customWidth="1"/>
  </cols>
  <sheetData>
    <row r="1" spans="1:10" ht="12.75">
      <c r="A1" s="457" t="s">
        <v>242</v>
      </c>
      <c r="B1" s="457"/>
      <c r="C1" s="457"/>
      <c r="D1" s="457"/>
      <c r="E1" s="457"/>
      <c r="F1" s="457"/>
      <c r="G1" s="457"/>
      <c r="H1" s="457"/>
      <c r="I1" s="457"/>
      <c r="J1" s="457"/>
    </row>
    <row r="2" spans="1:10" ht="13.5" thickBot="1">
      <c r="A2" s="44" t="s">
        <v>3</v>
      </c>
      <c r="C2" s="44" t="s">
        <v>3</v>
      </c>
      <c r="E2" s="45" t="s">
        <v>3</v>
      </c>
      <c r="F2" s="44" t="s">
        <v>3</v>
      </c>
      <c r="G2" s="45" t="s">
        <v>3</v>
      </c>
      <c r="H2" s="44" t="s">
        <v>3</v>
      </c>
      <c r="I2" s="44" t="s">
        <v>3</v>
      </c>
      <c r="J2" s="44"/>
    </row>
    <row r="3" spans="2:10" ht="12.75">
      <c r="B3" s="33"/>
      <c r="C3" s="32"/>
      <c r="D3" s="38"/>
      <c r="E3" s="32"/>
      <c r="F3" s="30" t="s">
        <v>50</v>
      </c>
      <c r="G3" s="30" t="s">
        <v>51</v>
      </c>
      <c r="H3" s="30" t="s">
        <v>52</v>
      </c>
      <c r="I3" s="30" t="s">
        <v>53</v>
      </c>
      <c r="J3" s="30" t="s">
        <v>93</v>
      </c>
    </row>
    <row r="4" spans="1:10" ht="13.5" thickBot="1">
      <c r="A4" s="23" t="s">
        <v>4</v>
      </c>
      <c r="B4" s="23" t="s">
        <v>94</v>
      </c>
      <c r="C4" s="23"/>
      <c r="D4" s="23"/>
      <c r="E4" s="23"/>
      <c r="F4" s="31" t="s">
        <v>73</v>
      </c>
      <c r="G4" s="31" t="s">
        <v>73</v>
      </c>
      <c r="H4" s="31" t="s">
        <v>73</v>
      </c>
      <c r="I4" s="31" t="s">
        <v>73</v>
      </c>
      <c r="J4" s="31" t="s">
        <v>73</v>
      </c>
    </row>
    <row r="5" spans="1:10" ht="12.75">
      <c r="A5" s="32" t="s">
        <v>3</v>
      </c>
      <c r="B5" s="32"/>
      <c r="C5" s="32"/>
      <c r="D5" s="32"/>
      <c r="E5" s="32"/>
      <c r="F5" s="455" t="s">
        <v>142</v>
      </c>
      <c r="G5" s="455"/>
      <c r="H5" s="455"/>
      <c r="I5" s="455"/>
      <c r="J5" s="32"/>
    </row>
    <row r="6" spans="1:10" ht="12.75">
      <c r="A6" s="329" t="s">
        <v>27</v>
      </c>
      <c r="B6" s="196"/>
      <c r="C6" s="138"/>
      <c r="D6" s="138"/>
      <c r="E6" s="138"/>
      <c r="F6" s="139" t="s">
        <v>3</v>
      </c>
      <c r="G6" s="139" t="s">
        <v>3</v>
      </c>
      <c r="H6" s="139" t="s">
        <v>3</v>
      </c>
      <c r="I6" s="139" t="s">
        <v>3</v>
      </c>
      <c r="J6" s="56"/>
    </row>
    <row r="7" spans="1:10" ht="12.75">
      <c r="A7" s="330"/>
      <c r="B7" s="129" t="s">
        <v>217</v>
      </c>
      <c r="C7" s="120"/>
      <c r="D7" s="138"/>
      <c r="E7" s="138"/>
      <c r="F7" s="337">
        <f>Year3!H5</f>
        <v>0.832188</v>
      </c>
      <c r="G7" s="337">
        <f>Year3!L5</f>
        <v>0</v>
      </c>
      <c r="H7" s="337">
        <f>Year3!O5</f>
        <v>100</v>
      </c>
      <c r="I7" s="337">
        <f>Year3!P5</f>
        <v>100.832188</v>
      </c>
      <c r="J7" s="140"/>
    </row>
    <row r="8" spans="1:10" ht="12.75">
      <c r="A8" s="330"/>
      <c r="B8" s="120" t="s">
        <v>154</v>
      </c>
      <c r="C8" s="120"/>
      <c r="D8" s="138"/>
      <c r="E8" s="138"/>
      <c r="F8" s="337">
        <f>Year3!H6</f>
        <v>0</v>
      </c>
      <c r="G8" s="337">
        <f>Year3!L6</f>
        <v>0</v>
      </c>
      <c r="H8" s="337">
        <f>Year3!O6</f>
        <v>320</v>
      </c>
      <c r="I8" s="337">
        <f>Year3!P6</f>
        <v>320</v>
      </c>
      <c r="J8" s="141"/>
    </row>
    <row r="9" spans="1:10" ht="12.75">
      <c r="A9" s="330"/>
      <c r="B9" s="120" t="s">
        <v>156</v>
      </c>
      <c r="C9" s="120"/>
      <c r="D9" s="138"/>
      <c r="E9" s="138"/>
      <c r="F9" s="337">
        <f>Year3!H7</f>
        <v>0</v>
      </c>
      <c r="G9" s="337">
        <f>Year3!L7</f>
        <v>1200</v>
      </c>
      <c r="H9" s="337">
        <f>Year3!O7</f>
        <v>640</v>
      </c>
      <c r="I9" s="337">
        <f>Year3!P7</f>
        <v>1840</v>
      </c>
      <c r="J9" s="141"/>
    </row>
    <row r="10" spans="1:10" ht="12.75">
      <c r="A10" s="330"/>
      <c r="B10" s="435" t="s">
        <v>313</v>
      </c>
      <c r="C10" s="121"/>
      <c r="D10" s="434"/>
      <c r="E10" s="434"/>
      <c r="F10" s="336">
        <f>Year3!H8+Year3!H9+Year3!H10</f>
        <v>65.10933333333334</v>
      </c>
      <c r="G10" s="336">
        <f>Year3!L8+Year3!L9+Year3!L10</f>
        <v>21.76</v>
      </c>
      <c r="H10" s="336">
        <f>Year3!O8+Year3!O9+Year3!O10</f>
        <v>40</v>
      </c>
      <c r="I10" s="336">
        <f>Year3!P8+Year3!P9+Year3!P10</f>
        <v>126.86933333333334</v>
      </c>
      <c r="J10" s="141"/>
    </row>
    <row r="11" spans="1:10" s="1" customFormat="1" ht="12.75">
      <c r="A11" s="329" t="s">
        <v>32</v>
      </c>
      <c r="B11" s="196"/>
      <c r="C11" s="142"/>
      <c r="D11" s="142"/>
      <c r="E11" s="142"/>
      <c r="F11" s="341">
        <f>Year3!H11</f>
        <v>65.94152133333334</v>
      </c>
      <c r="G11" s="341">
        <f>Year3!L11</f>
        <v>1221.76</v>
      </c>
      <c r="H11" s="341">
        <f>Year3!O11</f>
        <v>1100</v>
      </c>
      <c r="I11" s="341">
        <f>Year3!P11</f>
        <v>2387.701521333333</v>
      </c>
      <c r="J11" s="144"/>
    </row>
    <row r="12" spans="1:10" ht="12.75">
      <c r="A12" s="329" t="s">
        <v>23</v>
      </c>
      <c r="B12" s="120"/>
      <c r="C12" s="138"/>
      <c r="D12" s="138"/>
      <c r="E12" s="138"/>
      <c r="F12" s="139" t="s">
        <v>3</v>
      </c>
      <c r="G12" s="139" t="s">
        <v>3</v>
      </c>
      <c r="H12" s="139" t="s">
        <v>3</v>
      </c>
      <c r="I12" s="139" t="s">
        <v>3</v>
      </c>
      <c r="J12" s="138"/>
    </row>
    <row r="13" spans="1:10" ht="12.75">
      <c r="A13" s="330"/>
      <c r="B13" s="120" t="s">
        <v>224</v>
      </c>
      <c r="C13" s="138"/>
      <c r="D13" s="138"/>
      <c r="E13" s="138"/>
      <c r="F13" s="337">
        <f>Year3!H13</f>
        <v>0</v>
      </c>
      <c r="G13" s="337">
        <f>Year3!L13</f>
        <v>0</v>
      </c>
      <c r="H13" s="337">
        <f>Year3!O13</f>
        <v>960</v>
      </c>
      <c r="I13" s="337">
        <f>Year3!P13</f>
        <v>960</v>
      </c>
      <c r="J13" s="140"/>
    </row>
    <row r="14" spans="1:10" ht="12.75">
      <c r="A14" s="330"/>
      <c r="B14" s="129" t="s">
        <v>216</v>
      </c>
      <c r="C14" s="138"/>
      <c r="D14" s="138"/>
      <c r="E14" s="138"/>
      <c r="F14" s="337">
        <f>Year3!H14</f>
        <v>15.292533333333333</v>
      </c>
      <c r="G14" s="337">
        <f>Year3!L14</f>
        <v>0</v>
      </c>
      <c r="H14" s="337">
        <f>Year3!O14</f>
        <v>12</v>
      </c>
      <c r="I14" s="337">
        <f>Year3!P14</f>
        <v>27.29253333333333</v>
      </c>
      <c r="J14" s="141"/>
    </row>
    <row r="15" spans="1:10" ht="12.75">
      <c r="A15" s="330"/>
      <c r="B15" s="129" t="s">
        <v>36</v>
      </c>
      <c r="C15" s="138" t="s">
        <v>76</v>
      </c>
      <c r="D15" s="138"/>
      <c r="E15" s="138"/>
      <c r="F15" s="337">
        <f>Year3!H15</f>
        <v>123.73333333333335</v>
      </c>
      <c r="G15" s="337">
        <f>Year3!L15</f>
        <v>0</v>
      </c>
      <c r="H15" s="337">
        <f>Year3!O15</f>
        <v>20</v>
      </c>
      <c r="I15" s="337">
        <f>Year3!P15</f>
        <v>143.73333333333335</v>
      </c>
      <c r="J15" s="141"/>
    </row>
    <row r="16" spans="1:10" ht="12.75">
      <c r="A16" s="330"/>
      <c r="B16" s="435" t="s">
        <v>313</v>
      </c>
      <c r="C16" s="121"/>
      <c r="D16" s="434"/>
      <c r="E16" s="434"/>
      <c r="F16" s="336">
        <f>Year3!H16+Year3!H17+Year3!H18</f>
        <v>65.10933333333334</v>
      </c>
      <c r="G16" s="336">
        <f>Year3!L16+Year3!L17+Year3!L18</f>
        <v>21.76</v>
      </c>
      <c r="H16" s="336">
        <f>Year3!O16+Year3!O17+Year3!O18</f>
        <v>40</v>
      </c>
      <c r="I16" s="336">
        <f>Year3!P16+Year3!P17+Year3!P18</f>
        <v>126.86933333333334</v>
      </c>
      <c r="J16" s="438"/>
    </row>
    <row r="17" spans="1:10" ht="12.75">
      <c r="A17" s="330"/>
      <c r="B17" s="129" t="s">
        <v>219</v>
      </c>
      <c r="C17" s="138"/>
      <c r="D17" s="138"/>
      <c r="E17" s="138"/>
      <c r="F17" s="337">
        <f>Year3!H19</f>
        <v>0</v>
      </c>
      <c r="G17" s="337">
        <f>Year3!L19</f>
        <v>0</v>
      </c>
      <c r="H17" s="337">
        <f>Year3!O19</f>
        <v>40</v>
      </c>
      <c r="I17" s="337">
        <f>Year3!P19</f>
        <v>40</v>
      </c>
      <c r="J17" s="141"/>
    </row>
    <row r="18" spans="1:10" ht="12.75">
      <c r="A18" s="330"/>
      <c r="B18" s="129" t="s">
        <v>240</v>
      </c>
      <c r="C18" s="138"/>
      <c r="D18" s="138"/>
      <c r="E18" s="138"/>
      <c r="F18" s="337">
        <f>Year3!H20</f>
        <v>0</v>
      </c>
      <c r="G18" s="337">
        <f>Year3!L20</f>
        <v>150</v>
      </c>
      <c r="H18" s="337">
        <f>Year3!O20</f>
        <v>0</v>
      </c>
      <c r="I18" s="337">
        <f>Year3!P20</f>
        <v>150</v>
      </c>
      <c r="J18" s="141"/>
    </row>
    <row r="19" spans="1:10" s="1" customFormat="1" ht="12.75">
      <c r="A19" s="329" t="s">
        <v>24</v>
      </c>
      <c r="B19" s="196"/>
      <c r="D19" s="142"/>
      <c r="E19" s="142"/>
      <c r="F19" s="341">
        <f>Year3!H21</f>
        <v>204.1352</v>
      </c>
      <c r="G19" s="341">
        <f>Year3!L21</f>
        <v>171.76</v>
      </c>
      <c r="H19" s="341">
        <f>Year3!O21</f>
        <v>1072</v>
      </c>
      <c r="I19" s="341">
        <f>Year3!P21</f>
        <v>1447.8952000000002</v>
      </c>
      <c r="J19" s="144"/>
    </row>
    <row r="20" spans="1:10" ht="12.75">
      <c r="A20" s="329" t="s">
        <v>16</v>
      </c>
      <c r="B20" s="196"/>
      <c r="D20" s="138"/>
      <c r="E20" s="138"/>
      <c r="J20" s="35"/>
    </row>
    <row r="21" spans="1:10" ht="12.75">
      <c r="A21" s="331"/>
      <c r="B21" s="129" t="s">
        <v>220</v>
      </c>
      <c r="D21" s="138"/>
      <c r="E21" s="138"/>
      <c r="F21" s="337">
        <f>Year3!H23</f>
        <v>0</v>
      </c>
      <c r="G21" s="337">
        <f>Year3!L23</f>
        <v>0</v>
      </c>
      <c r="H21" s="337">
        <f>Year3!O23</f>
        <v>100</v>
      </c>
      <c r="I21" s="337">
        <f>Year3!P23</f>
        <v>100</v>
      </c>
      <c r="J21" s="140"/>
    </row>
    <row r="22" spans="1:10" ht="12.75">
      <c r="A22" s="331"/>
      <c r="B22" s="129" t="s">
        <v>216</v>
      </c>
      <c r="D22" s="138"/>
      <c r="E22" s="138"/>
      <c r="F22" s="337">
        <f>Year3!H24</f>
        <v>15.292533333333333</v>
      </c>
      <c r="G22" s="337">
        <f>Year3!L24</f>
        <v>0</v>
      </c>
      <c r="H22" s="337">
        <f>Year3!O24</f>
        <v>12</v>
      </c>
      <c r="I22" s="337">
        <f>Year3!P24</f>
        <v>27.29253333333333</v>
      </c>
      <c r="J22" s="140"/>
    </row>
    <row r="23" spans="1:10" ht="12.75">
      <c r="A23" s="331"/>
      <c r="B23" s="129" t="s">
        <v>36</v>
      </c>
      <c r="D23" s="138"/>
      <c r="E23" s="138"/>
      <c r="F23" s="337">
        <f>Year3!H25</f>
        <v>123.73333333333335</v>
      </c>
      <c r="G23" s="337">
        <f>Year3!L25</f>
        <v>0</v>
      </c>
      <c r="H23" s="337">
        <f>Year3!O25</f>
        <v>20</v>
      </c>
      <c r="I23" s="337">
        <f>Year3!P25</f>
        <v>143.73333333333335</v>
      </c>
      <c r="J23" s="141"/>
    </row>
    <row r="24" spans="1:10" ht="12.75">
      <c r="A24" s="331"/>
      <c r="B24" s="435" t="s">
        <v>313</v>
      </c>
      <c r="C24" s="121"/>
      <c r="D24" s="434"/>
      <c r="E24" s="434"/>
      <c r="F24" s="336">
        <f>Year3!H26+Year3!H27+Year3!H28</f>
        <v>65.10933333333334</v>
      </c>
      <c r="G24" s="336">
        <f>Year3!L26+Year3!L27+Year3!L28</f>
        <v>21.76</v>
      </c>
      <c r="H24" s="336">
        <f>Year3!O26+Year3!O27+Year3!O28</f>
        <v>40</v>
      </c>
      <c r="I24" s="336">
        <f>Year3!P26+Year3!P27+Year3!P28</f>
        <v>126.86933333333334</v>
      </c>
      <c r="J24" s="438"/>
    </row>
    <row r="25" spans="1:10" ht="12.75">
      <c r="A25" s="331"/>
      <c r="B25" s="129" t="s">
        <v>283</v>
      </c>
      <c r="C25" s="56"/>
      <c r="D25" s="56"/>
      <c r="E25" s="56"/>
      <c r="F25" s="336">
        <f>Year3!H29+Year3!H30+Year3!H31</f>
        <v>28.964399999999998</v>
      </c>
      <c r="G25" s="336">
        <f>Year3!L29+Year3!L30+Year3!L31</f>
        <v>289.2</v>
      </c>
      <c r="H25" s="336">
        <f>Year3!O29+Year3!O30+Year3!O31</f>
        <v>18</v>
      </c>
      <c r="I25" s="336">
        <f>Year3!P29+Year3!P30+Year3!P31</f>
        <v>336.1644</v>
      </c>
      <c r="J25" s="141"/>
    </row>
    <row r="26" spans="1:10" ht="12.75">
      <c r="A26" s="331"/>
      <c r="B26" s="129" t="s">
        <v>219</v>
      </c>
      <c r="D26" s="138"/>
      <c r="E26" s="138"/>
      <c r="F26" s="337">
        <f>Year3!H32</f>
        <v>0</v>
      </c>
      <c r="G26" s="337">
        <f>Year3!L32</f>
        <v>0</v>
      </c>
      <c r="H26" s="337">
        <f>Year3!O32</f>
        <v>40</v>
      </c>
      <c r="I26" s="337">
        <f>Year3!P32</f>
        <v>40</v>
      </c>
      <c r="J26" s="141"/>
    </row>
    <row r="27" spans="1:10" ht="12.75">
      <c r="A27" s="330"/>
      <c r="B27" s="120" t="s">
        <v>240</v>
      </c>
      <c r="D27" s="138"/>
      <c r="E27" s="138"/>
      <c r="F27" s="337">
        <f>Year3!H33</f>
        <v>0</v>
      </c>
      <c r="G27" s="337">
        <f>Year3!L33</f>
        <v>150</v>
      </c>
      <c r="H27" s="337">
        <f>Year3!O33</f>
        <v>0</v>
      </c>
      <c r="I27" s="337">
        <f>Year3!P33</f>
        <v>150</v>
      </c>
      <c r="J27" s="141"/>
    </row>
    <row r="28" spans="1:10" ht="12.75">
      <c r="A28" s="329" t="s">
        <v>17</v>
      </c>
      <c r="B28" s="120"/>
      <c r="D28" s="138"/>
      <c r="E28" s="138"/>
      <c r="F28" s="341">
        <f>Year3!H34</f>
        <v>233.09959999999998</v>
      </c>
      <c r="G28" s="341">
        <f>Year3!L34</f>
        <v>460.96</v>
      </c>
      <c r="H28" s="341">
        <f>Year3!O34</f>
        <v>230</v>
      </c>
      <c r="I28" s="341">
        <f>Year3!P34</f>
        <v>924.0596</v>
      </c>
      <c r="J28" s="144"/>
    </row>
    <row r="29" spans="1:5" ht="12.75">
      <c r="A29" s="329" t="s">
        <v>35</v>
      </c>
      <c r="B29" s="196"/>
      <c r="D29" s="138"/>
      <c r="E29" s="138"/>
    </row>
    <row r="30" spans="1:10" ht="12.75">
      <c r="A30" s="331"/>
      <c r="B30" s="129" t="s">
        <v>220</v>
      </c>
      <c r="D30" s="138"/>
      <c r="E30" s="138"/>
      <c r="F30" s="337">
        <f>Year3!H36</f>
        <v>0</v>
      </c>
      <c r="G30" s="337">
        <f>Year3!L36</f>
        <v>0</v>
      </c>
      <c r="H30" s="337">
        <f>Year3!O36</f>
        <v>100</v>
      </c>
      <c r="I30" s="337">
        <f>Year3!P36</f>
        <v>100</v>
      </c>
      <c r="J30" s="140"/>
    </row>
    <row r="31" spans="1:10" ht="12.75">
      <c r="A31" s="331"/>
      <c r="B31" s="129" t="s">
        <v>216</v>
      </c>
      <c r="D31" s="138"/>
      <c r="E31" s="138"/>
      <c r="F31" s="337">
        <f>Year3!H37</f>
        <v>15.292533333333333</v>
      </c>
      <c r="G31" s="337">
        <f>Year3!L37</f>
        <v>0</v>
      </c>
      <c r="H31" s="337">
        <f>Year3!O37</f>
        <v>12</v>
      </c>
      <c r="I31" s="337">
        <f>Year3!P37</f>
        <v>27.29253333333333</v>
      </c>
      <c r="J31" s="140"/>
    </row>
    <row r="32" spans="1:10" ht="12.75">
      <c r="A32" s="331"/>
      <c r="B32" s="129" t="s">
        <v>36</v>
      </c>
      <c r="D32" s="138"/>
      <c r="E32" s="138"/>
      <c r="F32" s="337">
        <f>Year3!H38</f>
        <v>123.73333333333335</v>
      </c>
      <c r="G32" s="337">
        <f>Year3!L38</f>
        <v>0</v>
      </c>
      <c r="H32" s="337">
        <f>Year3!O38</f>
        <v>20</v>
      </c>
      <c r="I32" s="337">
        <f>Year3!P38</f>
        <v>143.73333333333335</v>
      </c>
      <c r="J32" s="140"/>
    </row>
    <row r="33" spans="1:10" ht="12.75">
      <c r="A33" s="331"/>
      <c r="B33" s="435" t="s">
        <v>313</v>
      </c>
      <c r="C33" s="121"/>
      <c r="D33" s="434"/>
      <c r="E33" s="434"/>
      <c r="F33" s="336">
        <f>Year3!H39+Year3!H40+Year3!H41</f>
        <v>65.10933333333334</v>
      </c>
      <c r="G33" s="336">
        <f>Year3!L39+Year3!L40+Year3!L41</f>
        <v>21.76</v>
      </c>
      <c r="H33" s="336">
        <f>Year3!O39+Year3!O40+Year3!O41</f>
        <v>40</v>
      </c>
      <c r="I33" s="336">
        <f>Year3!P39+Year3!P40+Year3!P41</f>
        <v>126.86933333333334</v>
      </c>
      <c r="J33" s="140"/>
    </row>
    <row r="34" spans="1:10" ht="12.75">
      <c r="A34" s="331"/>
      <c r="B34" s="129" t="s">
        <v>283</v>
      </c>
      <c r="C34" s="56"/>
      <c r="D34" s="56"/>
      <c r="E34" s="56"/>
      <c r="F34" s="336">
        <f>Year3!H42+Year3!H43</f>
        <v>19.3096</v>
      </c>
      <c r="G34" s="336">
        <f>Year3!L42+Year3!L43</f>
        <v>193.2</v>
      </c>
      <c r="H34" s="336">
        <f>Year3!O42+Year3!O43</f>
        <v>12</v>
      </c>
      <c r="I34" s="336">
        <f>Year3!P42+Year3!P43</f>
        <v>224.50959999999998</v>
      </c>
      <c r="J34" s="140"/>
    </row>
    <row r="35" spans="1:10" ht="12.75">
      <c r="A35" s="331"/>
      <c r="B35" s="129" t="s">
        <v>219</v>
      </c>
      <c r="D35" s="138"/>
      <c r="E35" s="138"/>
      <c r="F35" s="337">
        <f>Year3!H44</f>
        <v>0</v>
      </c>
      <c r="G35" s="337">
        <f>Year3!L44</f>
        <v>0</v>
      </c>
      <c r="H35" s="337">
        <f>Year3!O44</f>
        <v>40</v>
      </c>
      <c r="I35" s="337">
        <f>Year3!P44</f>
        <v>40</v>
      </c>
      <c r="J35" s="140"/>
    </row>
    <row r="36" spans="1:10" ht="12.75">
      <c r="A36" s="330"/>
      <c r="B36" s="120" t="s">
        <v>240</v>
      </c>
      <c r="D36" s="138"/>
      <c r="E36" s="138"/>
      <c r="F36" s="337">
        <f>Year3!H45</f>
        <v>0</v>
      </c>
      <c r="G36" s="337">
        <f>Year3!L45</f>
        <v>150</v>
      </c>
      <c r="H36" s="337">
        <f>Year3!O45</f>
        <v>0</v>
      </c>
      <c r="I36" s="337">
        <f>Year3!P45</f>
        <v>150</v>
      </c>
      <c r="J36" s="140"/>
    </row>
    <row r="37" spans="1:10" ht="12.75">
      <c r="A37" s="329" t="s">
        <v>37</v>
      </c>
      <c r="B37" s="120"/>
      <c r="D37" s="138"/>
      <c r="E37" s="138"/>
      <c r="F37" s="341">
        <f>Year3!H46</f>
        <v>223.4448</v>
      </c>
      <c r="G37" s="341">
        <f>Year3!L46</f>
        <v>364.96</v>
      </c>
      <c r="H37" s="341">
        <f>Year3!O46</f>
        <v>224</v>
      </c>
      <c r="I37" s="341">
        <f>Year3!P46</f>
        <v>812.4048</v>
      </c>
      <c r="J37" s="144"/>
    </row>
    <row r="38" spans="1:5" ht="12.75">
      <c r="A38" s="329" t="s">
        <v>38</v>
      </c>
      <c r="B38" s="196"/>
      <c r="D38" s="39"/>
      <c r="E38" s="138"/>
    </row>
    <row r="39" spans="1:10" ht="12.75">
      <c r="A39" s="329"/>
      <c r="B39" s="120" t="s">
        <v>47</v>
      </c>
      <c r="D39" s="122"/>
      <c r="E39" s="138"/>
      <c r="F39" s="337">
        <f>Year3!H48</f>
        <v>0</v>
      </c>
      <c r="G39" s="337">
        <f>Year3!L48</f>
        <v>5</v>
      </c>
      <c r="H39" s="337">
        <f>Year3!O48</f>
        <v>0</v>
      </c>
      <c r="I39" s="337">
        <f>Year3!P48</f>
        <v>5</v>
      </c>
      <c r="J39" s="140"/>
    </row>
    <row r="40" spans="1:10" ht="12.75">
      <c r="A40" s="329"/>
      <c r="B40" s="120" t="s">
        <v>48</v>
      </c>
      <c r="D40" s="122"/>
      <c r="E40" s="138"/>
      <c r="F40" s="337">
        <f>Year3!H49</f>
        <v>4.266666666666667</v>
      </c>
      <c r="G40" s="337">
        <f>Year3!L49</f>
        <v>0</v>
      </c>
      <c r="H40" s="337">
        <f>Year3!O49</f>
        <v>960</v>
      </c>
      <c r="I40" s="337">
        <f>Year3!P49</f>
        <v>964.2666666666667</v>
      </c>
      <c r="J40" s="140"/>
    </row>
    <row r="41" spans="1:10" ht="12.75">
      <c r="A41" s="331"/>
      <c r="B41" s="129" t="s">
        <v>220</v>
      </c>
      <c r="D41" s="39"/>
      <c r="E41" s="138"/>
      <c r="F41" s="337">
        <f>Year3!H50</f>
        <v>0</v>
      </c>
      <c r="G41" s="337">
        <f>Year3!L50</f>
        <v>0</v>
      </c>
      <c r="H41" s="337">
        <f>Year3!O50</f>
        <v>100</v>
      </c>
      <c r="I41" s="337">
        <f>Year3!P50</f>
        <v>100</v>
      </c>
      <c r="J41" s="140"/>
    </row>
    <row r="42" spans="1:10" ht="12.75">
      <c r="A42" s="331"/>
      <c r="B42" s="129" t="s">
        <v>216</v>
      </c>
      <c r="D42" s="138"/>
      <c r="E42" s="138" t="s">
        <v>3</v>
      </c>
      <c r="F42" s="337">
        <f>Year3!H51</f>
        <v>15.292533333333333</v>
      </c>
      <c r="G42" s="337">
        <f>Year3!L51</f>
        <v>0</v>
      </c>
      <c r="H42" s="337">
        <f>Year3!O51</f>
        <v>12</v>
      </c>
      <c r="I42" s="337">
        <f>Year3!P51</f>
        <v>27.29253333333333</v>
      </c>
      <c r="J42" s="140"/>
    </row>
    <row r="43" spans="1:10" ht="12.75">
      <c r="A43" s="331"/>
      <c r="B43" s="129" t="s">
        <v>36</v>
      </c>
      <c r="D43" s="138"/>
      <c r="E43" s="138" t="s">
        <v>3</v>
      </c>
      <c r="F43" s="337">
        <f>Year3!H52</f>
        <v>123.73333333333335</v>
      </c>
      <c r="G43" s="337">
        <f>Year3!L52</f>
        <v>0</v>
      </c>
      <c r="H43" s="337">
        <f>Year3!O52</f>
        <v>20</v>
      </c>
      <c r="I43" s="337">
        <f>Year3!P52</f>
        <v>143.73333333333335</v>
      </c>
      <c r="J43" s="140"/>
    </row>
    <row r="44" spans="1:10" ht="12.75">
      <c r="A44" s="329" t="s">
        <v>39</v>
      </c>
      <c r="B44" s="120"/>
      <c r="D44" s="39"/>
      <c r="E44" s="138" t="s">
        <v>3</v>
      </c>
      <c r="F44" s="341">
        <f>Year3!H53</f>
        <v>143.29253333333335</v>
      </c>
      <c r="G44" s="341">
        <f>Year3!L53</f>
        <v>5</v>
      </c>
      <c r="H44" s="341">
        <f>Year3!O53</f>
        <v>1092</v>
      </c>
      <c r="I44" s="341">
        <f>Year3!P53</f>
        <v>1240.2925333333333</v>
      </c>
      <c r="J44" s="335"/>
    </row>
    <row r="45" spans="1:5" ht="12.75">
      <c r="A45" s="329" t="s">
        <v>40</v>
      </c>
      <c r="B45" s="196"/>
      <c r="D45" s="138"/>
      <c r="E45" s="138"/>
    </row>
    <row r="46" spans="1:10" ht="12.75">
      <c r="A46" s="331"/>
      <c r="B46" s="129" t="s">
        <v>220</v>
      </c>
      <c r="D46" s="138"/>
      <c r="E46" s="138"/>
      <c r="F46" s="337">
        <f>Year3!H55</f>
        <v>0</v>
      </c>
      <c r="G46" s="337">
        <f>Year3!L55</f>
        <v>0</v>
      </c>
      <c r="H46" s="337">
        <f>Year3!O55</f>
        <v>100</v>
      </c>
      <c r="I46" s="337">
        <f>Year3!P55</f>
        <v>100</v>
      </c>
      <c r="J46" s="140"/>
    </row>
    <row r="47" spans="1:10" ht="12.75">
      <c r="A47" s="331"/>
      <c r="B47" s="129" t="s">
        <v>216</v>
      </c>
      <c r="D47" s="138"/>
      <c r="E47" s="138"/>
      <c r="F47" s="337">
        <f>Year3!H56</f>
        <v>15.292533333333333</v>
      </c>
      <c r="G47" s="337">
        <f>Year3!L56</f>
        <v>0</v>
      </c>
      <c r="H47" s="337">
        <f>Year3!O56</f>
        <v>12</v>
      </c>
      <c r="I47" s="337">
        <f>Year3!P56</f>
        <v>27.29253333333333</v>
      </c>
      <c r="J47" s="140"/>
    </row>
    <row r="48" spans="1:10" ht="12.75">
      <c r="A48" s="331"/>
      <c r="B48" s="435" t="s">
        <v>313</v>
      </c>
      <c r="C48" s="121"/>
      <c r="D48" s="434"/>
      <c r="E48" s="434"/>
      <c r="F48" s="336">
        <f>Year3!H57+Year3!H58+Year3!H59</f>
        <v>65.10933333333334</v>
      </c>
      <c r="G48" s="336">
        <f>Year3!L57+Year3!L58+Year3!L59</f>
        <v>21.76</v>
      </c>
      <c r="H48" s="336">
        <f>Year3!O57+Year3!O58+Year3!O59</f>
        <v>40</v>
      </c>
      <c r="I48" s="336">
        <f>Year3!P57+Year3!P58+Year3!P59</f>
        <v>126.86933333333334</v>
      </c>
      <c r="J48" s="140"/>
    </row>
    <row r="49" spans="1:10" ht="12.75">
      <c r="A49" s="331"/>
      <c r="B49" s="129" t="s">
        <v>36</v>
      </c>
      <c r="D49" s="138"/>
      <c r="E49" s="138"/>
      <c r="F49" s="337">
        <f>Year3!H60</f>
        <v>123.73333333333335</v>
      </c>
      <c r="G49" s="337">
        <f>Year3!L60</f>
        <v>0</v>
      </c>
      <c r="H49" s="337">
        <f>Year3!O60</f>
        <v>20</v>
      </c>
      <c r="I49" s="337">
        <f>Year3!P60</f>
        <v>143.73333333333335</v>
      </c>
      <c r="J49" s="140"/>
    </row>
    <row r="50" spans="1:10" ht="12.75">
      <c r="A50" s="329" t="s">
        <v>41</v>
      </c>
      <c r="B50" s="120"/>
      <c r="D50" s="138"/>
      <c r="E50" s="138"/>
      <c r="F50" s="341">
        <f>Year3!H61</f>
        <v>204.13520000000003</v>
      </c>
      <c r="G50" s="341">
        <f>Year3!L61</f>
        <v>21.76</v>
      </c>
      <c r="H50" s="341">
        <f>Year3!O61</f>
        <v>172</v>
      </c>
      <c r="I50" s="341">
        <f>Year3!P61</f>
        <v>397.8952</v>
      </c>
      <c r="J50" s="335"/>
    </row>
    <row r="51" spans="1:5" ht="12.75">
      <c r="A51" s="332" t="s">
        <v>42</v>
      </c>
      <c r="B51" s="127"/>
      <c r="D51" s="138"/>
      <c r="E51" s="138"/>
    </row>
    <row r="52" spans="1:10" ht="12.75">
      <c r="A52" s="331"/>
      <c r="B52" s="129" t="s">
        <v>216</v>
      </c>
      <c r="D52" s="138"/>
      <c r="E52" s="138"/>
      <c r="F52" s="337">
        <f>Year3!H63</f>
        <v>15.292533333333333</v>
      </c>
      <c r="G52" s="337">
        <f>Year3!L63</f>
        <v>0</v>
      </c>
      <c r="H52" s="337">
        <f>Year3!O63</f>
        <v>12</v>
      </c>
      <c r="I52" s="337">
        <f>Year3!P63</f>
        <v>27.29253333333333</v>
      </c>
      <c r="J52" s="140"/>
    </row>
    <row r="53" spans="1:10" ht="12.75">
      <c r="A53" s="331"/>
      <c r="B53" s="129" t="s">
        <v>36</v>
      </c>
      <c r="D53" s="39"/>
      <c r="E53" s="138"/>
      <c r="F53" s="337">
        <f>Year3!H64</f>
        <v>123.73333333333335</v>
      </c>
      <c r="G53" s="337">
        <f>Year3!L64</f>
        <v>0</v>
      </c>
      <c r="H53" s="337">
        <f>Year3!O64</f>
        <v>20</v>
      </c>
      <c r="I53" s="337">
        <f>Year3!P64</f>
        <v>143.73333333333335</v>
      </c>
      <c r="J53" s="141"/>
    </row>
    <row r="54" spans="1:10" ht="12.75">
      <c r="A54" s="329" t="s">
        <v>43</v>
      </c>
      <c r="B54" s="130"/>
      <c r="D54" s="39"/>
      <c r="E54" s="138"/>
      <c r="F54" s="341">
        <f>Year3!H65</f>
        <v>139.02586666666667</v>
      </c>
      <c r="G54" s="341">
        <f>Year3!L65</f>
        <v>0</v>
      </c>
      <c r="H54" s="341">
        <f>Year3!O65</f>
        <v>32</v>
      </c>
      <c r="I54" s="341">
        <f>Year3!P65</f>
        <v>171.02586666666667</v>
      </c>
      <c r="J54" s="144"/>
    </row>
    <row r="55" spans="1:10" ht="12.75">
      <c r="A55" s="134" t="s">
        <v>15</v>
      </c>
      <c r="B55" s="127"/>
      <c r="D55" s="39"/>
      <c r="E55" s="138"/>
      <c r="J55" s="35"/>
    </row>
    <row r="56" spans="1:10" ht="12.75">
      <c r="A56" s="331"/>
      <c r="B56" s="129" t="s">
        <v>221</v>
      </c>
      <c r="D56" s="39"/>
      <c r="E56" s="138"/>
      <c r="F56" s="337">
        <f>Year3!H67</f>
        <v>0</v>
      </c>
      <c r="G56" s="337">
        <f>Year3!L67</f>
        <v>0</v>
      </c>
      <c r="H56" s="337">
        <f>Year3!O67</f>
        <v>260</v>
      </c>
      <c r="I56" s="337">
        <f>Year3!P67</f>
        <v>260</v>
      </c>
      <c r="J56" s="140"/>
    </row>
    <row r="57" spans="1:10" ht="12.75">
      <c r="A57" s="331"/>
      <c r="B57" s="129" t="s">
        <v>216</v>
      </c>
      <c r="D57" s="39"/>
      <c r="E57" s="138"/>
      <c r="F57" s="337">
        <f>Year3!H68</f>
        <v>15.292533333333333</v>
      </c>
      <c r="G57" s="337">
        <f>Year3!L68</f>
        <v>0</v>
      </c>
      <c r="H57" s="337">
        <f>Year3!O68</f>
        <v>12</v>
      </c>
      <c r="I57" s="337">
        <f>Year3!P68</f>
        <v>27.29253333333333</v>
      </c>
      <c r="J57" s="141"/>
    </row>
    <row r="58" spans="1:10" ht="12.75">
      <c r="A58" s="331"/>
      <c r="B58" s="129" t="s">
        <v>36</v>
      </c>
      <c r="D58" s="138"/>
      <c r="E58" s="138" t="s">
        <v>3</v>
      </c>
      <c r="F58" s="337">
        <f>Year3!H69</f>
        <v>123.73333333333335</v>
      </c>
      <c r="G58" s="337">
        <f>Year3!L69</f>
        <v>0</v>
      </c>
      <c r="H58" s="337">
        <f>Year3!O69</f>
        <v>20</v>
      </c>
      <c r="I58" s="337">
        <f>Year3!P69</f>
        <v>143.73333333333335</v>
      </c>
      <c r="J58" s="141"/>
    </row>
    <row r="59" spans="1:10" ht="12.75">
      <c r="A59" s="329" t="s">
        <v>153</v>
      </c>
      <c r="B59" s="130"/>
      <c r="D59" s="138"/>
      <c r="E59" s="138" t="s">
        <v>3</v>
      </c>
      <c r="F59" s="341">
        <f>Year3!H70</f>
        <v>139.02586666666667</v>
      </c>
      <c r="G59" s="341">
        <f>Year3!L70</f>
        <v>0</v>
      </c>
      <c r="H59" s="341">
        <f>Year3!O70</f>
        <v>292</v>
      </c>
      <c r="I59" s="341">
        <f>Year3!P70</f>
        <v>431.0258666666667</v>
      </c>
      <c r="J59" s="144"/>
    </row>
    <row r="60" spans="1:10" ht="12.75">
      <c r="A60" s="329" t="s">
        <v>0</v>
      </c>
      <c r="B60" s="196"/>
      <c r="D60" s="138"/>
      <c r="E60" s="138" t="s">
        <v>3</v>
      </c>
      <c r="J60" s="35"/>
    </row>
    <row r="61" spans="1:10" ht="12.75">
      <c r="A61" s="329"/>
      <c r="B61" s="129" t="s">
        <v>221</v>
      </c>
      <c r="D61" s="39"/>
      <c r="E61" s="138"/>
      <c r="F61" s="337">
        <f>Year3!H72</f>
        <v>0</v>
      </c>
      <c r="G61" s="337">
        <f>Year3!L72</f>
        <v>0</v>
      </c>
      <c r="H61" s="337">
        <f>Year3!O72</f>
        <v>260</v>
      </c>
      <c r="I61" s="337">
        <f>Year3!P72</f>
        <v>260</v>
      </c>
      <c r="J61" s="35"/>
    </row>
    <row r="62" spans="1:10" ht="12.75">
      <c r="A62" s="329"/>
      <c r="B62" s="120" t="s">
        <v>284</v>
      </c>
      <c r="C62" s="56"/>
      <c r="D62" s="56"/>
      <c r="E62" s="56"/>
      <c r="F62" s="336">
        <f>Year3!H73</f>
        <v>9.6548</v>
      </c>
      <c r="G62" s="337">
        <f>Year3!L73</f>
        <v>96</v>
      </c>
      <c r="H62" s="337">
        <f>Year3!O73</f>
        <v>6</v>
      </c>
      <c r="I62" s="337">
        <f>Year3!P73</f>
        <v>111.6548</v>
      </c>
      <c r="J62" s="35"/>
    </row>
    <row r="63" spans="1:10" ht="12.75">
      <c r="A63" s="329"/>
      <c r="B63" s="120" t="s">
        <v>49</v>
      </c>
      <c r="D63" s="138"/>
      <c r="E63" s="138"/>
      <c r="F63" s="337">
        <f>Year3!H74</f>
        <v>0</v>
      </c>
      <c r="G63" s="337">
        <f>Year3!L74</f>
        <v>0</v>
      </c>
      <c r="H63" s="337">
        <f>Year3!O74</f>
        <v>200</v>
      </c>
      <c r="I63" s="337">
        <f>Year3!P74</f>
        <v>200</v>
      </c>
      <c r="J63" s="141"/>
    </row>
    <row r="64" spans="1:10" ht="12.75">
      <c r="A64" s="329" t="s">
        <v>1</v>
      </c>
      <c r="B64" s="120"/>
      <c r="D64" s="138"/>
      <c r="E64" s="138"/>
      <c r="F64" s="341">
        <f>Year3!H75</f>
        <v>9.6548</v>
      </c>
      <c r="G64" s="341">
        <f>Year3!L75</f>
        <v>96</v>
      </c>
      <c r="H64" s="341">
        <f>Year3!O75</f>
        <v>466</v>
      </c>
      <c r="I64" s="341">
        <f>Year3!P75</f>
        <v>571.6548</v>
      </c>
      <c r="J64" s="144"/>
    </row>
    <row r="65" spans="1:10" ht="12.75">
      <c r="A65" s="329" t="s">
        <v>233</v>
      </c>
      <c r="B65" s="130"/>
      <c r="D65" s="138"/>
      <c r="E65" s="138"/>
      <c r="J65" s="35"/>
    </row>
    <row r="66" spans="1:10" ht="12.75">
      <c r="A66" s="329"/>
      <c r="B66" s="129" t="s">
        <v>226</v>
      </c>
      <c r="D66" s="138"/>
      <c r="E66" s="138"/>
      <c r="F66" s="337">
        <f>Year3!H77</f>
        <v>0</v>
      </c>
      <c r="G66" s="337">
        <f>Year3!L77</f>
        <v>3911.111111111111</v>
      </c>
      <c r="H66" s="337">
        <f>Year3!O77</f>
        <v>6222.222222222222</v>
      </c>
      <c r="I66" s="337">
        <f>Year3!P77</f>
        <v>10133.333333333332</v>
      </c>
      <c r="J66" s="140"/>
    </row>
    <row r="67" spans="1:10" ht="12.75">
      <c r="A67" s="329"/>
      <c r="B67" s="129" t="s">
        <v>228</v>
      </c>
      <c r="D67" s="138"/>
      <c r="E67" s="138"/>
      <c r="F67" s="337">
        <f>Year3!H78</f>
        <v>0</v>
      </c>
      <c r="G67" s="337">
        <f>Year3!L78</f>
        <v>150</v>
      </c>
      <c r="H67" s="337">
        <f>Year3!O78</f>
        <v>600</v>
      </c>
      <c r="I67" s="337">
        <f>Year3!P78</f>
        <v>750</v>
      </c>
      <c r="J67" s="141"/>
    </row>
    <row r="68" spans="1:10" ht="12.75">
      <c r="A68" s="329"/>
      <c r="B68" s="129" t="s">
        <v>230</v>
      </c>
      <c r="D68" s="138"/>
      <c r="E68" s="138"/>
      <c r="F68" s="337">
        <f>Year3!H79</f>
        <v>0</v>
      </c>
      <c r="G68" s="337">
        <f>Year3!L79</f>
        <v>0</v>
      </c>
      <c r="H68" s="337">
        <f>Year3!O79</f>
        <v>888.8888888888888</v>
      </c>
      <c r="I68" s="337">
        <f>Year3!P79</f>
        <v>888.8888888888888</v>
      </c>
      <c r="J68" s="141"/>
    </row>
    <row r="69" spans="1:10" ht="12.75">
      <c r="A69" s="329"/>
      <c r="B69" s="129" t="s">
        <v>234</v>
      </c>
      <c r="D69" s="138"/>
      <c r="E69" s="138"/>
      <c r="F69" s="337">
        <f>Year3!H80</f>
        <v>0</v>
      </c>
      <c r="G69" s="337">
        <f>Year3!L80</f>
        <v>0</v>
      </c>
      <c r="H69" s="337">
        <f>Year3!O80</f>
        <v>444.4444444444444</v>
      </c>
      <c r="I69" s="337">
        <f>Year3!P80</f>
        <v>444.4444444444444</v>
      </c>
      <c r="J69" s="138"/>
    </row>
    <row r="70" spans="1:10" ht="12.75">
      <c r="A70" s="329"/>
      <c r="B70" s="129" t="s">
        <v>236</v>
      </c>
      <c r="D70" s="138"/>
      <c r="E70" s="138"/>
      <c r="F70" s="337">
        <f>Year3!H82</f>
        <v>219.83333333333334</v>
      </c>
      <c r="G70" s="337">
        <f>Year3!L82</f>
        <v>0</v>
      </c>
      <c r="H70" s="337">
        <f>Year3!O82</f>
        <v>360</v>
      </c>
      <c r="I70" s="337">
        <f>Year3!P82</f>
        <v>579.8333333333334</v>
      </c>
      <c r="J70" s="140"/>
    </row>
    <row r="71" spans="1:10" ht="12.75">
      <c r="A71" s="329"/>
      <c r="B71" s="129" t="s">
        <v>235</v>
      </c>
      <c r="D71" s="139"/>
      <c r="E71" s="136"/>
      <c r="F71" s="337">
        <f>Year3!H83</f>
        <v>822.87</v>
      </c>
      <c r="G71" s="337">
        <f>Year3!L83</f>
        <v>0</v>
      </c>
      <c r="H71" s="337">
        <f>Year3!O83</f>
        <v>540</v>
      </c>
      <c r="I71" s="337">
        <f>Year3!P83</f>
        <v>1362.87</v>
      </c>
      <c r="J71" s="140"/>
    </row>
    <row r="72" spans="1:10" ht="12.75">
      <c r="A72" s="329" t="s">
        <v>232</v>
      </c>
      <c r="B72" s="130"/>
      <c r="D72" s="138"/>
      <c r="E72" s="138"/>
      <c r="F72" s="341">
        <f>Year3!H84</f>
        <v>2205.9176190476187</v>
      </c>
      <c r="G72" s="341">
        <f>Year3!L84</f>
        <v>4061.111111111111</v>
      </c>
      <c r="H72" s="341">
        <f>Year3!O84</f>
        <v>9055.555555555555</v>
      </c>
      <c r="I72" s="341">
        <f>Year3!P84</f>
        <v>15322.584285714285</v>
      </c>
      <c r="J72" s="140"/>
    </row>
    <row r="73" spans="1:5" ht="12.75">
      <c r="A73" s="196" t="s">
        <v>196</v>
      </c>
      <c r="B73" s="120"/>
      <c r="D73" s="139"/>
      <c r="E73" s="136"/>
    </row>
    <row r="74" spans="1:10" ht="12.75">
      <c r="A74" s="120"/>
      <c r="B74" s="198" t="s">
        <v>198</v>
      </c>
      <c r="D74" s="138"/>
      <c r="E74" s="138"/>
      <c r="F74" s="337">
        <f>Year3!H86</f>
        <v>0</v>
      </c>
      <c r="G74" s="337">
        <f>Year3!L86</f>
        <v>100</v>
      </c>
      <c r="H74" s="337">
        <f>Year3!O86</f>
        <v>0</v>
      </c>
      <c r="I74" s="337">
        <f>Year3!P86</f>
        <v>100</v>
      </c>
      <c r="J74" s="141"/>
    </row>
    <row r="75" spans="1:10" ht="12.75">
      <c r="A75" s="120"/>
      <c r="B75" s="198" t="s">
        <v>200</v>
      </c>
      <c r="D75" s="138"/>
      <c r="E75" s="138"/>
      <c r="F75" s="337">
        <f>Year3!H87</f>
        <v>0</v>
      </c>
      <c r="G75" s="337">
        <f>Year3!L87</f>
        <v>40</v>
      </c>
      <c r="H75" s="337">
        <f>Year3!O87</f>
        <v>0</v>
      </c>
      <c r="I75" s="337">
        <f>Year3!P87</f>
        <v>40</v>
      </c>
      <c r="J75" s="56"/>
    </row>
    <row r="76" spans="1:10" ht="12.75">
      <c r="A76" s="120"/>
      <c r="B76" s="198" t="s">
        <v>201</v>
      </c>
      <c r="D76" s="138"/>
      <c r="E76" s="138"/>
      <c r="F76" s="337">
        <f>Year3!H88</f>
        <v>0</v>
      </c>
      <c r="G76" s="337">
        <f>Year3!L88</f>
        <v>0</v>
      </c>
      <c r="H76" s="337">
        <f>Year3!O88</f>
        <v>0</v>
      </c>
      <c r="I76" s="337">
        <f>Year3!P88</f>
        <v>0</v>
      </c>
      <c r="J76" s="140"/>
    </row>
    <row r="77" spans="1:10" ht="12.75">
      <c r="A77" s="120"/>
      <c r="B77" s="198" t="s">
        <v>222</v>
      </c>
      <c r="D77" s="138"/>
      <c r="E77" s="138"/>
      <c r="F77" s="337">
        <f>Year3!H89</f>
        <v>0</v>
      </c>
      <c r="G77" s="337">
        <f>Year3!L89</f>
        <v>830</v>
      </c>
      <c r="H77" s="337">
        <f>Year3!O89</f>
        <v>0</v>
      </c>
      <c r="I77" s="337">
        <f>Year3!P89</f>
        <v>830</v>
      </c>
      <c r="J77" s="141"/>
    </row>
    <row r="78" spans="1:10" ht="12.75">
      <c r="A78" s="120"/>
      <c r="B78" s="198" t="s">
        <v>202</v>
      </c>
      <c r="D78" s="138"/>
      <c r="E78" s="138"/>
      <c r="F78" s="337">
        <f>Year3!H90</f>
        <v>0</v>
      </c>
      <c r="G78" s="337">
        <f>Year3!L90</f>
        <v>400</v>
      </c>
      <c r="H78" s="337">
        <f>Year3!O90</f>
        <v>0</v>
      </c>
      <c r="I78" s="337">
        <f>Year3!P90</f>
        <v>400</v>
      </c>
      <c r="J78" s="56"/>
    </row>
    <row r="79" spans="1:10" ht="12.75">
      <c r="A79" s="120"/>
      <c r="B79" s="198" t="s">
        <v>203</v>
      </c>
      <c r="D79" s="138"/>
      <c r="E79" s="138"/>
      <c r="F79" s="337">
        <f>Year3!H91</f>
        <v>0</v>
      </c>
      <c r="G79" s="337">
        <f>Year3!L91</f>
        <v>400</v>
      </c>
      <c r="H79" s="337">
        <f>Year3!O91</f>
        <v>0</v>
      </c>
      <c r="I79" s="337">
        <f>Year3!P91</f>
        <v>400</v>
      </c>
      <c r="J79" s="140"/>
    </row>
    <row r="80" spans="1:10" ht="12.75">
      <c r="A80" s="120"/>
      <c r="B80" s="198" t="s">
        <v>290</v>
      </c>
      <c r="D80" s="138"/>
      <c r="E80" s="138"/>
      <c r="F80" s="337">
        <f>Year3!H92</f>
        <v>0</v>
      </c>
      <c r="G80" s="337">
        <f>Year3!L92</f>
        <v>1000</v>
      </c>
      <c r="H80" s="337">
        <f>Year3!O92</f>
        <v>0</v>
      </c>
      <c r="I80" s="337">
        <f>Year3!P92</f>
        <v>1000</v>
      </c>
      <c r="J80" s="140"/>
    </row>
    <row r="81" spans="1:10" ht="12.75">
      <c r="A81" s="196" t="s">
        <v>204</v>
      </c>
      <c r="B81" s="120"/>
      <c r="D81" s="138"/>
      <c r="E81" s="138"/>
      <c r="F81" s="341">
        <f>Year3!H93</f>
        <v>0</v>
      </c>
      <c r="G81" s="341">
        <f>Year3!L93</f>
        <v>2770</v>
      </c>
      <c r="H81" s="341">
        <f>Year3!O93</f>
        <v>0</v>
      </c>
      <c r="I81" s="341">
        <f>Year3!P93</f>
        <v>2770</v>
      </c>
      <c r="J81" s="141"/>
    </row>
    <row r="82" spans="1:10" ht="12.75">
      <c r="A82" s="196"/>
      <c r="B82" s="120"/>
      <c r="D82" s="138"/>
      <c r="E82" s="138"/>
      <c r="F82" s="341"/>
      <c r="G82" s="341"/>
      <c r="H82" s="341"/>
      <c r="I82" s="341"/>
      <c r="J82" s="141"/>
    </row>
    <row r="83" spans="1:10" ht="12.75">
      <c r="A83" s="196" t="s">
        <v>238</v>
      </c>
      <c r="B83" s="120"/>
      <c r="D83" s="138"/>
      <c r="E83" s="138"/>
      <c r="F83" s="341">
        <f>Year3!H94</f>
        <v>1361.755388</v>
      </c>
      <c r="G83" s="341">
        <f>Year3!L94</f>
        <v>2342.2000000000003</v>
      </c>
      <c r="H83" s="341">
        <f>Year3!O94</f>
        <v>4680</v>
      </c>
      <c r="I83" s="341">
        <f>Year3!P94</f>
        <v>8383.955388</v>
      </c>
      <c r="J83" s="141"/>
    </row>
    <row r="84" spans="1:10" ht="12.75">
      <c r="A84" s="196" t="s">
        <v>239</v>
      </c>
      <c r="B84" s="120"/>
      <c r="D84" s="138"/>
      <c r="E84" s="138"/>
      <c r="F84" s="341">
        <f>Year3!H95</f>
        <v>3567.6730070476187</v>
      </c>
      <c r="G84" s="341">
        <f>Year3!L95</f>
        <v>6403.311111111111</v>
      </c>
      <c r="H84" s="341">
        <f>Year3!O95</f>
        <v>13735.555555555555</v>
      </c>
      <c r="I84" s="341">
        <f>Year3!P95</f>
        <v>23706.539673714287</v>
      </c>
      <c r="J84" s="140"/>
    </row>
    <row r="85" spans="1:10" ht="12.75">
      <c r="A85" s="196" t="s">
        <v>206</v>
      </c>
      <c r="B85" s="120"/>
      <c r="D85" s="138"/>
      <c r="E85" s="138"/>
      <c r="F85" s="341">
        <f>Year3!H96</f>
        <v>3567.6730070476187</v>
      </c>
      <c r="G85" s="341">
        <f>Year3!L96</f>
        <v>9173.31111111111</v>
      </c>
      <c r="H85" s="341">
        <f>Year3!O96</f>
        <v>13735.555555555555</v>
      </c>
      <c r="I85" s="341">
        <f>Year3!P96</f>
        <v>26476.539673714287</v>
      </c>
      <c r="J85" s="143"/>
    </row>
    <row r="86" spans="1:10" ht="12.75">
      <c r="A86" s="29"/>
      <c r="B86" s="29"/>
      <c r="D86" s="138"/>
      <c r="E86" s="138"/>
      <c r="F86" s="458"/>
      <c r="G86" s="458"/>
      <c r="H86" s="458"/>
      <c r="I86" s="458"/>
      <c r="J86" s="56" t="s">
        <v>3</v>
      </c>
    </row>
    <row r="87" spans="1:10" ht="12.75">
      <c r="A87" s="29" t="s">
        <v>168</v>
      </c>
      <c r="B87" s="29"/>
      <c r="D87" s="138"/>
      <c r="E87" s="138"/>
      <c r="F87" s="139"/>
      <c r="G87" s="139"/>
      <c r="H87" s="139"/>
      <c r="I87" s="139"/>
      <c r="J87" s="56"/>
    </row>
    <row r="88" spans="1:10" ht="12.75">
      <c r="A88" s="29" t="s">
        <v>169</v>
      </c>
      <c r="B88" s="29"/>
      <c r="D88" s="138"/>
      <c r="E88" s="138"/>
      <c r="F88" s="139"/>
      <c r="G88" s="139"/>
      <c r="H88" s="139"/>
      <c r="I88" s="139"/>
      <c r="J88" s="56"/>
    </row>
    <row r="89" spans="1:10" ht="12.75">
      <c r="A89" s="29" t="s">
        <v>170</v>
      </c>
      <c r="B89" s="29"/>
      <c r="D89" s="138"/>
      <c r="E89" s="138"/>
      <c r="F89" s="139"/>
      <c r="G89" s="139"/>
      <c r="H89" s="139"/>
      <c r="I89" s="139"/>
      <c r="J89" s="56"/>
    </row>
    <row r="90" spans="1:10" s="35" customFormat="1" ht="12.75">
      <c r="A90" s="56" t="s">
        <v>3</v>
      </c>
      <c r="B90" s="56"/>
      <c r="D90" s="56"/>
      <c r="E90" s="56"/>
      <c r="F90" s="333"/>
      <c r="G90" s="333"/>
      <c r="H90" s="333"/>
      <c r="I90" s="333"/>
      <c r="J90" s="56"/>
    </row>
    <row r="91" spans="1:10" s="35" customFormat="1" ht="12.75">
      <c r="A91" s="56"/>
      <c r="B91" s="56"/>
      <c r="D91" s="56"/>
      <c r="E91" s="56"/>
      <c r="F91" s="333"/>
      <c r="G91" s="333"/>
      <c r="H91" s="333"/>
      <c r="I91" s="333"/>
      <c r="J91" s="56"/>
    </row>
    <row r="92" spans="1:10" s="35" customFormat="1" ht="12.75">
      <c r="A92" s="56"/>
      <c r="B92" s="56"/>
      <c r="D92" s="56"/>
      <c r="E92" s="56"/>
      <c r="F92" s="333"/>
      <c r="G92" s="333"/>
      <c r="H92" s="333"/>
      <c r="I92" s="333"/>
      <c r="J92" s="56"/>
    </row>
    <row r="93" spans="1:10" s="35" customFormat="1" ht="12.75">
      <c r="A93" s="56"/>
      <c r="B93" s="56"/>
      <c r="D93" s="56"/>
      <c r="E93" s="56"/>
      <c r="F93" s="333"/>
      <c r="G93" s="333"/>
      <c r="H93" s="333"/>
      <c r="I93" s="333"/>
      <c r="J93" s="56"/>
    </row>
    <row r="94" spans="1:10" s="35" customFormat="1" ht="12.75">
      <c r="A94" s="328"/>
      <c r="B94" s="56"/>
      <c r="D94" s="56"/>
      <c r="E94" s="56"/>
      <c r="F94" s="334"/>
      <c r="G94" s="334"/>
      <c r="H94" s="334"/>
      <c r="I94" s="334"/>
      <c r="J94" s="56"/>
    </row>
    <row r="95" spans="1:10" s="35" customFormat="1" ht="12.75">
      <c r="A95" s="56"/>
      <c r="B95" s="56"/>
      <c r="D95" s="56"/>
      <c r="E95" s="56"/>
      <c r="F95" s="333"/>
      <c r="G95" s="333"/>
      <c r="H95" s="333"/>
      <c r="I95" s="333"/>
      <c r="J95" s="56"/>
    </row>
    <row r="96" spans="1:10" s="35" customFormat="1" ht="12.75">
      <c r="A96" s="56"/>
      <c r="B96" s="56"/>
      <c r="D96" s="56"/>
      <c r="E96" s="56"/>
      <c r="F96" s="333"/>
      <c r="G96" s="333"/>
      <c r="H96" s="333"/>
      <c r="I96" s="333"/>
      <c r="J96" s="56"/>
    </row>
    <row r="97" spans="1:10" s="35" customFormat="1" ht="12.75">
      <c r="A97" s="56"/>
      <c r="B97" s="56"/>
      <c r="D97" s="56"/>
      <c r="E97" s="56"/>
      <c r="F97" s="333"/>
      <c r="G97" s="333"/>
      <c r="H97" s="333"/>
      <c r="I97" s="333"/>
      <c r="J97" s="56"/>
    </row>
    <row r="98" spans="1:10" s="35" customFormat="1" ht="12.75">
      <c r="A98" s="328"/>
      <c r="B98" s="56"/>
      <c r="D98" s="56"/>
      <c r="E98" s="56"/>
      <c r="F98" s="334"/>
      <c r="G98" s="334"/>
      <c r="H98" s="334"/>
      <c r="I98" s="334"/>
      <c r="J98" s="56"/>
    </row>
    <row r="99" spans="1:10" s="35" customFormat="1" ht="12.75">
      <c r="A99" s="56"/>
      <c r="B99" s="56"/>
      <c r="D99" s="56"/>
      <c r="E99" s="56"/>
      <c r="F99" s="57"/>
      <c r="G99" s="57"/>
      <c r="H99" s="57"/>
      <c r="I99" s="57"/>
      <c r="J99" s="56"/>
    </row>
    <row r="100" spans="1:10" s="35" customFormat="1" ht="12.75">
      <c r="A100" s="328"/>
      <c r="B100" s="56"/>
      <c r="D100" s="56"/>
      <c r="E100" s="56"/>
      <c r="F100" s="334"/>
      <c r="G100" s="334"/>
      <c r="H100" s="334"/>
      <c r="I100" s="334"/>
      <c r="J100" s="56"/>
    </row>
    <row r="101" spans="1:10" s="35" customFormat="1" ht="12.75">
      <c r="A101" s="12"/>
      <c r="B101" s="12"/>
      <c r="D101" s="12"/>
      <c r="E101" s="12"/>
      <c r="F101" s="12"/>
      <c r="G101" s="12"/>
      <c r="H101" s="12"/>
      <c r="I101" s="12"/>
      <c r="J101" s="12"/>
    </row>
    <row r="102" spans="1:10" s="35" customFormat="1" ht="12.75">
      <c r="A102" s="12"/>
      <c r="B102" s="12"/>
      <c r="D102" s="12"/>
      <c r="E102" s="12"/>
      <c r="F102" s="12"/>
      <c r="G102" s="12"/>
      <c r="H102" s="12"/>
      <c r="I102" s="12"/>
      <c r="J102" s="12"/>
    </row>
    <row r="103" spans="1:10" s="35" customFormat="1" ht="12.75">
      <c r="A103" s="12"/>
      <c r="B103" s="12"/>
      <c r="D103" s="12"/>
      <c r="E103" s="12"/>
      <c r="F103" s="12"/>
      <c r="G103" s="12"/>
      <c r="H103" s="12"/>
      <c r="I103" s="12"/>
      <c r="J103" s="12"/>
    </row>
    <row r="104" spans="1:10" s="35" customFormat="1" ht="12.75">
      <c r="A104" s="12"/>
      <c r="B104" s="12"/>
      <c r="D104" s="12"/>
      <c r="E104" s="12"/>
      <c r="G104" s="358"/>
      <c r="H104" s="12"/>
      <c r="I104" s="12"/>
      <c r="J104" s="12"/>
    </row>
    <row r="105" spans="1:10" s="35" customFormat="1" ht="12.75">
      <c r="A105" s="12"/>
      <c r="B105" s="12"/>
      <c r="D105" s="359"/>
      <c r="E105" s="12"/>
      <c r="G105" s="358"/>
      <c r="H105" s="12"/>
      <c r="I105" s="12"/>
      <c r="J105" s="12"/>
    </row>
    <row r="106" spans="1:10" s="35" customFormat="1" ht="12.75">
      <c r="A106" s="12"/>
      <c r="B106" s="12"/>
      <c r="D106" s="12"/>
      <c r="E106" s="12"/>
      <c r="F106" s="12"/>
      <c r="G106" s="358"/>
      <c r="H106" s="12"/>
      <c r="I106" s="12"/>
      <c r="J106" s="12"/>
    </row>
    <row r="107" spans="1:10" ht="12.75">
      <c r="A107" s="32"/>
      <c r="B107" s="32"/>
      <c r="E107" s="32"/>
      <c r="F107" s="32"/>
      <c r="G107" s="32"/>
      <c r="H107" s="32"/>
      <c r="I107" s="32"/>
      <c r="J107" s="32"/>
    </row>
    <row r="108" spans="1:9" ht="12.75">
      <c r="A108" s="32"/>
      <c r="B108" s="32"/>
      <c r="D108" s="32"/>
      <c r="E108" s="32"/>
      <c r="G108" s="62"/>
      <c r="H108" s="32"/>
      <c r="I108" s="32"/>
    </row>
    <row r="109" spans="1:9" ht="12.75">
      <c r="A109" s="32"/>
      <c r="B109" s="32"/>
      <c r="D109" s="32"/>
      <c r="E109" s="32"/>
      <c r="F109" s="32"/>
      <c r="G109" s="32"/>
      <c r="H109" s="32"/>
      <c r="I109" s="32"/>
    </row>
    <row r="110" spans="1:9" ht="12.75">
      <c r="A110" s="32"/>
      <c r="B110" s="32"/>
      <c r="D110" s="32"/>
      <c r="E110" s="32"/>
      <c r="F110" s="32"/>
      <c r="G110" s="32"/>
      <c r="H110" s="32"/>
      <c r="I110" s="32"/>
    </row>
    <row r="111" spans="2:8" ht="12.75">
      <c r="B111" s="32"/>
      <c r="D111" s="32"/>
      <c r="E111" s="32"/>
      <c r="F111" s="32"/>
      <c r="G111" s="32"/>
      <c r="H111" s="32"/>
    </row>
    <row r="112" spans="2:8" ht="12.75">
      <c r="B112" s="32"/>
      <c r="D112" s="32"/>
      <c r="E112" s="32"/>
      <c r="F112" s="32"/>
      <c r="G112" s="32"/>
      <c r="H112" s="32"/>
    </row>
  </sheetData>
  <sheetProtection password="ECAF" sheet="1" selectLockedCells="1"/>
  <mergeCells count="3">
    <mergeCell ref="A1:J1"/>
    <mergeCell ref="F5:I5"/>
    <mergeCell ref="F86:I86"/>
  </mergeCells>
  <printOptions/>
  <pageMargins left="1" right="0"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7030A0"/>
  </sheetPr>
  <dimension ref="A1:G31"/>
  <sheetViews>
    <sheetView zoomScalePageLayoutView="0" workbookViewId="0" topLeftCell="A1">
      <selection activeCell="A1" sqref="A1:G32"/>
    </sheetView>
  </sheetViews>
  <sheetFormatPr defaultColWidth="8.8515625" defaultRowHeight="12.75"/>
  <sheetData>
    <row r="1" spans="1:7" ht="12.75">
      <c r="A1" s="459" t="s">
        <v>225</v>
      </c>
      <c r="B1" s="459"/>
      <c r="C1" s="459"/>
      <c r="D1" s="459"/>
      <c r="E1" s="459"/>
      <c r="F1" s="459"/>
      <c r="G1" s="459"/>
    </row>
    <row r="2" spans="1:7" ht="12.75">
      <c r="A2" s="314"/>
      <c r="B2" s="314"/>
      <c r="C2" s="314"/>
      <c r="D2" s="314"/>
      <c r="E2" s="314"/>
      <c r="F2" s="314"/>
      <c r="G2" s="314"/>
    </row>
    <row r="3" spans="1:4" ht="12.75">
      <c r="A3" s="7" t="s">
        <v>100</v>
      </c>
      <c r="C3" s="7" t="s">
        <v>102</v>
      </c>
      <c r="D3" s="60">
        <f>HOAssumptions!G13</f>
        <v>0.8</v>
      </c>
    </row>
    <row r="4" spans="1:4" ht="12.75">
      <c r="A4" s="7" t="s">
        <v>101</v>
      </c>
      <c r="C4" s="7" t="s">
        <v>102</v>
      </c>
      <c r="D4" s="60">
        <f>HOAssumptions!G21</f>
        <v>0.19999999999999996</v>
      </c>
    </row>
    <row r="6" spans="1:7" ht="12.75">
      <c r="A6" s="116" t="s">
        <v>99</v>
      </c>
      <c r="B6" s="115"/>
      <c r="C6" s="365" t="s">
        <v>53</v>
      </c>
      <c r="D6" s="365" t="s">
        <v>103</v>
      </c>
      <c r="E6" s="366" t="s">
        <v>101</v>
      </c>
      <c r="F6" s="39"/>
      <c r="G6" s="39"/>
    </row>
    <row r="7" spans="1:5" ht="12.75">
      <c r="A7" s="115"/>
      <c r="B7" s="115"/>
      <c r="C7" s="365" t="s">
        <v>92</v>
      </c>
      <c r="D7" s="365" t="s">
        <v>92</v>
      </c>
      <c r="E7" s="367"/>
    </row>
    <row r="9" spans="1:5" ht="12.75">
      <c r="A9" s="7" t="s">
        <v>55</v>
      </c>
      <c r="B9" s="7" t="s">
        <v>95</v>
      </c>
      <c r="C9" s="58">
        <f>HOAssumptions!G8</f>
        <v>8000</v>
      </c>
      <c r="D9" s="34">
        <f>D3*C9</f>
        <v>6400</v>
      </c>
      <c r="E9" s="34">
        <f>C9-D9</f>
        <v>1600</v>
      </c>
    </row>
    <row r="10" spans="2:4" ht="12.75">
      <c r="B10" s="7" t="s">
        <v>175</v>
      </c>
      <c r="D10" s="34">
        <f>D9*16/HOAssumptions!G15</f>
        <v>17066.666666666668</v>
      </c>
    </row>
    <row r="11" spans="1:5" ht="12.75">
      <c r="A11" s="15"/>
      <c r="B11" s="42" t="s">
        <v>87</v>
      </c>
      <c r="C11" s="15"/>
      <c r="D11" s="47">
        <f>D10/HOAssumptions!G14</f>
        <v>1422.2222222222224</v>
      </c>
      <c r="E11" s="15"/>
    </row>
    <row r="12" spans="2:4" ht="12.75">
      <c r="B12" s="7"/>
      <c r="D12" s="41"/>
    </row>
    <row r="13" spans="1:5" ht="12.75">
      <c r="A13" s="7" t="s">
        <v>167</v>
      </c>
      <c r="B13" s="7" t="s">
        <v>95</v>
      </c>
      <c r="C13" s="58">
        <f>HOAssumptions!G9</f>
        <v>10000</v>
      </c>
      <c r="D13" s="34">
        <f>D3*C13</f>
        <v>8000</v>
      </c>
      <c r="E13" s="34">
        <f>C13-D13</f>
        <v>2000</v>
      </c>
    </row>
    <row r="14" spans="2:4" ht="12.75">
      <c r="B14" s="7" t="s">
        <v>175</v>
      </c>
      <c r="D14" s="34">
        <f>D13*16/HOAssumptions!G15</f>
        <v>21333.333333333332</v>
      </c>
    </row>
    <row r="15" spans="1:5" ht="12.75">
      <c r="A15" s="15"/>
      <c r="B15" s="42" t="s">
        <v>87</v>
      </c>
      <c r="C15" s="15"/>
      <c r="D15" s="47">
        <f>D14/HOAssumptions!G14</f>
        <v>1777.7777777777776</v>
      </c>
      <c r="E15" s="15"/>
    </row>
    <row r="16" spans="1:5" ht="12.75">
      <c r="A16" s="35"/>
      <c r="B16" s="29"/>
      <c r="C16" s="35"/>
      <c r="D16" s="112"/>
      <c r="E16" s="35"/>
    </row>
    <row r="17" spans="1:5" ht="12.75">
      <c r="A17" s="7" t="s">
        <v>163</v>
      </c>
      <c r="B17" s="7" t="s">
        <v>95</v>
      </c>
      <c r="C17" s="58">
        <f>HOAssumptions!G10</f>
        <v>7000</v>
      </c>
      <c r="D17" s="34">
        <f>D3*C17</f>
        <v>5600</v>
      </c>
      <c r="E17" s="34">
        <f>C17-D17</f>
        <v>1400</v>
      </c>
    </row>
    <row r="18" spans="2:4" ht="12.75">
      <c r="B18" s="7" t="s">
        <v>175</v>
      </c>
      <c r="D18" s="34">
        <f>D17*16/HOAssumptions!G15</f>
        <v>14933.333333333334</v>
      </c>
    </row>
    <row r="19" spans="1:5" ht="12.75">
      <c r="A19" s="15"/>
      <c r="B19" s="42" t="s">
        <v>87</v>
      </c>
      <c r="C19" s="15"/>
      <c r="D19" s="47">
        <f>D18/HOAssumptions!G14</f>
        <v>1244.4444444444446</v>
      </c>
      <c r="E19" s="15"/>
    </row>
    <row r="20" spans="1:5" ht="12.75">
      <c r="A20" s="35"/>
      <c r="B20" s="29"/>
      <c r="C20" s="35"/>
      <c r="D20" s="112"/>
      <c r="E20" s="35"/>
    </row>
    <row r="21" spans="1:5" ht="12.75">
      <c r="A21" s="7" t="s">
        <v>164</v>
      </c>
      <c r="B21" s="7" t="s">
        <v>95</v>
      </c>
      <c r="C21" s="58">
        <f>HOAssumptions!G11</f>
        <v>5000</v>
      </c>
      <c r="D21" s="34">
        <f>D3*C21</f>
        <v>4000</v>
      </c>
      <c r="E21" s="34">
        <f>C21-D21</f>
        <v>1000</v>
      </c>
    </row>
    <row r="22" spans="2:4" ht="12.75">
      <c r="B22" s="7" t="s">
        <v>175</v>
      </c>
      <c r="D22" s="34">
        <f>D21*16/HOAssumptions!G15</f>
        <v>10666.666666666666</v>
      </c>
    </row>
    <row r="23" spans="1:5" ht="12.75">
      <c r="A23" s="15"/>
      <c r="B23" s="42" t="s">
        <v>87</v>
      </c>
      <c r="C23" s="15"/>
      <c r="D23" s="47">
        <f>D22/HOAssumptions!G14</f>
        <v>888.8888888888888</v>
      </c>
      <c r="E23" s="15"/>
    </row>
    <row r="26" spans="1:7" ht="12.75">
      <c r="A26" s="116" t="s">
        <v>89</v>
      </c>
      <c r="B26" s="116"/>
      <c r="C26" s="116"/>
      <c r="D26" s="116"/>
      <c r="E26" s="116"/>
      <c r="F26" s="40"/>
      <c r="G26" s="40"/>
    </row>
    <row r="27" spans="1:7" ht="12.75">
      <c r="A27" s="116"/>
      <c r="B27" s="116"/>
      <c r="C27" s="116"/>
      <c r="D27" s="116"/>
      <c r="E27" s="116"/>
      <c r="F27" s="40"/>
      <c r="G27" s="40"/>
    </row>
    <row r="28" spans="1:7" ht="12.75">
      <c r="A28" s="7" t="s">
        <v>77</v>
      </c>
      <c r="B28" s="7"/>
      <c r="C28" s="7" t="s">
        <v>86</v>
      </c>
      <c r="D28" s="7"/>
      <c r="E28" s="61">
        <f>HOAssumptions!G26</f>
        <v>25</v>
      </c>
      <c r="F28" s="3"/>
      <c r="G28" s="3"/>
    </row>
    <row r="29" spans="1:7" ht="12.75">
      <c r="A29" s="7"/>
      <c r="B29" s="7"/>
      <c r="C29" s="7" t="s">
        <v>172</v>
      </c>
      <c r="D29" s="43"/>
      <c r="E29" s="61">
        <f>HOAssumptions!G27</f>
        <v>2.0833333333333335</v>
      </c>
      <c r="F29" s="3"/>
      <c r="G29" s="3"/>
    </row>
    <row r="30" spans="1:7" ht="12.75">
      <c r="A30" s="7"/>
      <c r="B30" s="7"/>
      <c r="C30" s="7" t="s">
        <v>105</v>
      </c>
      <c r="D30" s="43"/>
      <c r="E30" s="61">
        <f>HOAssumptions!G28</f>
        <v>5.555555555555555</v>
      </c>
      <c r="F30" s="3"/>
      <c r="G30" s="3"/>
    </row>
    <row r="31" spans="1:7" ht="12.75">
      <c r="A31" s="7" t="s">
        <v>78</v>
      </c>
      <c r="B31" s="7"/>
      <c r="C31" s="7" t="s">
        <v>105</v>
      </c>
      <c r="D31" s="7"/>
      <c r="E31" s="61">
        <f>HOAssumptions!G31</f>
        <v>0</v>
      </c>
      <c r="F31" s="3"/>
      <c r="G31" s="3"/>
    </row>
  </sheetData>
  <sheetProtection password="ECAF" sheet="1" selectLockedCells="1"/>
  <mergeCells count="1">
    <mergeCell ref="A1:G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pageSetUpPr fitToPage="1"/>
  </sheetPr>
  <dimension ref="A1:L17"/>
  <sheetViews>
    <sheetView zoomScalePageLayoutView="0" workbookViewId="0" topLeftCell="A1">
      <selection activeCell="A1" sqref="A1:L18"/>
    </sheetView>
  </sheetViews>
  <sheetFormatPr defaultColWidth="8.8515625" defaultRowHeight="12.75"/>
  <cols>
    <col min="1" max="1" width="10.140625" style="0" bestFit="1" customWidth="1"/>
    <col min="2" max="2" width="10.7109375" style="0" customWidth="1"/>
    <col min="3" max="3" width="8.8515625" style="0" customWidth="1"/>
    <col min="4" max="4" width="10.421875" style="0" customWidth="1"/>
    <col min="5" max="5" width="12.00390625" style="0" customWidth="1"/>
    <col min="6" max="10" width="9.28125" style="0" bestFit="1" customWidth="1"/>
    <col min="11" max="11" width="9.8515625" style="0" bestFit="1" customWidth="1"/>
    <col min="12" max="12" width="10.7109375" style="0" customWidth="1"/>
  </cols>
  <sheetData>
    <row r="1" spans="1:9" ht="12.75">
      <c r="A1" s="452" t="s">
        <v>244</v>
      </c>
      <c r="B1" s="452"/>
      <c r="C1" s="452"/>
      <c r="D1" s="452"/>
      <c r="E1" s="452"/>
      <c r="F1" s="452"/>
      <c r="G1" s="452"/>
      <c r="H1" s="452"/>
      <c r="I1" s="452"/>
    </row>
    <row r="2" spans="1:9" ht="12.75">
      <c r="A2" s="70" t="s">
        <v>245</v>
      </c>
      <c r="B2" s="70"/>
      <c r="C2" s="70"/>
      <c r="D2" s="70"/>
      <c r="E2" s="70"/>
      <c r="F2" s="70"/>
      <c r="G2" s="70"/>
      <c r="H2" s="70"/>
      <c r="I2" s="70"/>
    </row>
    <row r="3" spans="1:9" ht="12.75">
      <c r="A3" s="70"/>
      <c r="B3" s="70"/>
      <c r="C3" s="70"/>
      <c r="D3" s="70"/>
      <c r="E3" s="70"/>
      <c r="F3" s="70"/>
      <c r="G3" s="70"/>
      <c r="H3" s="70"/>
      <c r="I3" s="70"/>
    </row>
    <row r="4" spans="1:12" ht="39" customHeight="1">
      <c r="A4" s="17" t="s">
        <v>96</v>
      </c>
      <c r="B4" s="460" t="s">
        <v>92</v>
      </c>
      <c r="C4" s="460"/>
      <c r="D4" s="17" t="s">
        <v>54</v>
      </c>
      <c r="E4" s="460" t="s">
        <v>246</v>
      </c>
      <c r="F4" s="460"/>
      <c r="G4" s="460"/>
      <c r="H4" s="460"/>
      <c r="I4" s="17" t="s">
        <v>201</v>
      </c>
      <c r="J4" s="17" t="s">
        <v>53</v>
      </c>
      <c r="K4" s="17" t="s">
        <v>247</v>
      </c>
      <c r="L4" s="17" t="s">
        <v>248</v>
      </c>
    </row>
    <row r="5" spans="1:12" ht="12.75">
      <c r="A5" s="18"/>
      <c r="B5" s="18" t="s">
        <v>103</v>
      </c>
      <c r="C5" s="18" t="s">
        <v>249</v>
      </c>
      <c r="D5" s="360"/>
      <c r="E5" s="18" t="s">
        <v>50</v>
      </c>
      <c r="F5" s="18" t="s">
        <v>51</v>
      </c>
      <c r="G5" s="18" t="s">
        <v>52</v>
      </c>
      <c r="H5" s="18" t="s">
        <v>250</v>
      </c>
      <c r="I5" s="18" t="s">
        <v>73</v>
      </c>
      <c r="J5" s="18" t="s">
        <v>73</v>
      </c>
      <c r="K5" s="18" t="s">
        <v>54</v>
      </c>
      <c r="L5" s="18" t="s">
        <v>97</v>
      </c>
    </row>
    <row r="6" spans="1:12" ht="12.75">
      <c r="A6" s="16"/>
      <c r="B6" s="461" t="s">
        <v>251</v>
      </c>
      <c r="C6" s="461"/>
      <c r="D6" s="461" t="s">
        <v>252</v>
      </c>
      <c r="E6" s="461"/>
      <c r="F6" s="461"/>
      <c r="G6" s="461"/>
      <c r="H6" s="461"/>
      <c r="I6" s="461"/>
      <c r="J6" s="461"/>
      <c r="K6" s="461"/>
      <c r="L6" s="461"/>
    </row>
    <row r="7" spans="1:12" ht="12.75">
      <c r="A7" s="114">
        <v>0</v>
      </c>
      <c r="B7" s="361">
        <v>0</v>
      </c>
      <c r="C7" s="361">
        <v>0</v>
      </c>
      <c r="D7" s="368">
        <f>('[1]Assumptions'!G$30*B7)+('[1]Assumptions'!G$32*C7)</f>
        <v>0</v>
      </c>
      <c r="E7" s="369">
        <f>Year0!H32</f>
        <v>336.39499</v>
      </c>
      <c r="F7" s="369">
        <f>Year0!L32</f>
        <v>930.1999999999999</v>
      </c>
      <c r="G7" s="369">
        <f>Year0!O32</f>
        <v>804.3999999999999</v>
      </c>
      <c r="H7" s="369">
        <v>0</v>
      </c>
      <c r="I7" s="369">
        <f>Year0!L31</f>
        <v>140</v>
      </c>
      <c r="J7" s="370">
        <f aca="true" t="shared" si="0" ref="J7:J13">E7+F7+G7+H7+I7</f>
        <v>2210.99499</v>
      </c>
      <c r="K7" s="371">
        <f aca="true" t="shared" si="1" ref="K7:K13">D7-J7</f>
        <v>-2210.99499</v>
      </c>
      <c r="L7" s="371">
        <f>K7</f>
        <v>-2210.99499</v>
      </c>
    </row>
    <row r="8" spans="1:12" ht="12.75">
      <c r="A8" s="114">
        <v>1</v>
      </c>
      <c r="B8" s="361">
        <v>0</v>
      </c>
      <c r="C8" s="361">
        <v>0</v>
      </c>
      <c r="D8" s="368">
        <f>('[1]Assumptions'!G$30*B8)+('[1]Assumptions'!G$32*C8)</f>
        <v>0</v>
      </c>
      <c r="E8" s="369">
        <f>Year1!H55</f>
        <v>976.384642222222</v>
      </c>
      <c r="F8" s="369">
        <f>Year1!L55</f>
        <v>8410</v>
      </c>
      <c r="G8" s="369">
        <f>Year1!O55</f>
        <v>2734</v>
      </c>
      <c r="H8" s="369">
        <v>0</v>
      </c>
      <c r="I8" s="369">
        <f>Year1!L54</f>
        <v>970</v>
      </c>
      <c r="J8" s="370">
        <f t="shared" si="0"/>
        <v>13090.384642222221</v>
      </c>
      <c r="K8" s="371">
        <f t="shared" si="1"/>
        <v>-13090.384642222221</v>
      </c>
      <c r="L8" s="371">
        <f>IF(L7&lt;0,(L7+(L7*HOAssumptions!G$47)+K8),L7+K8)</f>
        <v>-15411.92938172222</v>
      </c>
    </row>
    <row r="9" spans="1:12" ht="12.75">
      <c r="A9" s="114">
        <v>2</v>
      </c>
      <c r="B9" s="362">
        <f>Yields!D9</f>
        <v>6400</v>
      </c>
      <c r="C9" s="362">
        <f>Yields!E9</f>
        <v>1600</v>
      </c>
      <c r="D9" s="368">
        <f>(B9*HOAssumptions!G$28)+(C9*HOAssumptions!G$31)</f>
        <v>35555.555555555555</v>
      </c>
      <c r="E9" s="369">
        <f>Year2!H91</f>
        <v>1361.755388</v>
      </c>
      <c r="F9" s="369">
        <f>Year2!L91</f>
        <v>1142.2</v>
      </c>
      <c r="G9" s="369">
        <f>Year2!O91</f>
        <v>3680</v>
      </c>
      <c r="H9" s="369">
        <f>Year2!P81</f>
        <v>13029.250952380953</v>
      </c>
      <c r="I9" s="369">
        <f>Year2!L90</f>
        <v>2770</v>
      </c>
      <c r="J9" s="370">
        <f t="shared" si="0"/>
        <v>21983.20634038095</v>
      </c>
      <c r="K9" s="371">
        <f t="shared" si="1"/>
        <v>13572.349215174603</v>
      </c>
      <c r="L9" s="371">
        <f>IF(L8&lt;0,(L8+(L8*HOAssumptions!G$47)+K9),L8+K9)</f>
        <v>-2610.1766356337284</v>
      </c>
    </row>
    <row r="10" spans="1:12" ht="12.75">
      <c r="A10" s="114">
        <v>3</v>
      </c>
      <c r="B10" s="362">
        <f>Yields!D13</f>
        <v>8000</v>
      </c>
      <c r="C10" s="362">
        <f>Yields!E13</f>
        <v>2000</v>
      </c>
      <c r="D10" s="368">
        <f>(B10*HOAssumptions!G$28)+(C10*HOAssumptions!G$31)</f>
        <v>44444.444444444445</v>
      </c>
      <c r="E10" s="369">
        <f>Year3!H94</f>
        <v>1361.755388</v>
      </c>
      <c r="F10" s="369">
        <f>Year3!L94</f>
        <v>2342.2000000000003</v>
      </c>
      <c r="G10" s="369">
        <f>Year3!O94</f>
        <v>4680</v>
      </c>
      <c r="H10" s="369">
        <f>Year3!P84</f>
        <v>15322.584285714285</v>
      </c>
      <c r="I10" s="369">
        <f>Year3!L93</f>
        <v>2770</v>
      </c>
      <c r="J10" s="370">
        <f t="shared" si="0"/>
        <v>26476.539673714287</v>
      </c>
      <c r="K10" s="371">
        <f t="shared" si="1"/>
        <v>17967.904770730158</v>
      </c>
      <c r="L10" s="371">
        <f>IF(L9&lt;0,(L9+(L9*HOAssumptions!G$47)+K10),L9+K10)</f>
        <v>15227.219303314743</v>
      </c>
    </row>
    <row r="11" spans="1:12" ht="12.75">
      <c r="A11" s="114">
        <v>4</v>
      </c>
      <c r="B11" s="362">
        <f>Yields!D13</f>
        <v>8000</v>
      </c>
      <c r="C11" s="362">
        <f>Yields!E13</f>
        <v>2000</v>
      </c>
      <c r="D11" s="368">
        <f>(B11*HOAssumptions!G$28)+(C11*HOAssumptions!G$31)</f>
        <v>44444.444444444445</v>
      </c>
      <c r="E11" s="369">
        <f>Year3!H94</f>
        <v>1361.755388</v>
      </c>
      <c r="F11" s="369">
        <f>Year3!L94-(Year3!L7/2)</f>
        <v>1742.2000000000003</v>
      </c>
      <c r="G11" s="369">
        <f>Year3!O94-(Year3!O6)</f>
        <v>4360</v>
      </c>
      <c r="H11" s="369">
        <f>Year3!P84</f>
        <v>15322.584285714285</v>
      </c>
      <c r="I11" s="369">
        <f>Year3!L93</f>
        <v>2770</v>
      </c>
      <c r="J11" s="370">
        <f t="shared" si="0"/>
        <v>25556.539673714287</v>
      </c>
      <c r="K11" s="371">
        <f t="shared" si="1"/>
        <v>18887.904770730158</v>
      </c>
      <c r="L11" s="371">
        <f>IF(L10&lt;0,(L10+(L10*HOAssumptions!G$47)+K11),L10+K11)</f>
        <v>34115.1240740449</v>
      </c>
    </row>
    <row r="12" spans="1:12" ht="12.75">
      <c r="A12" s="114">
        <v>5</v>
      </c>
      <c r="B12" s="362">
        <f>Yields!D17</f>
        <v>5600</v>
      </c>
      <c r="C12" s="362">
        <f>Yields!E17</f>
        <v>1400</v>
      </c>
      <c r="D12" s="368">
        <f>(B12*HOAssumptions!G$28)+(C12*HOAssumptions!G$31)</f>
        <v>31111.11111111111</v>
      </c>
      <c r="E12" s="369">
        <f>Year3!H94</f>
        <v>1361.755388</v>
      </c>
      <c r="F12" s="369">
        <f>Year3!L94-(Year3!L7/2)</f>
        <v>1742.2000000000003</v>
      </c>
      <c r="G12" s="369">
        <f>Year3!O94-(Year3!O6)</f>
        <v>4360</v>
      </c>
      <c r="H12" s="369">
        <f>Year3!P84-(SUM(Year3!L77:Year3!L78)*0.3)-(SUM(Year3!O77:Year3!O80)*0.3)</f>
        <v>11657.584285714285</v>
      </c>
      <c r="I12" s="369">
        <f>Year3!L93</f>
        <v>2770</v>
      </c>
      <c r="J12" s="370">
        <f t="shared" si="0"/>
        <v>21891.539673714287</v>
      </c>
      <c r="K12" s="371">
        <f t="shared" si="1"/>
        <v>9219.571437396822</v>
      </c>
      <c r="L12" s="371">
        <f>IF(L11&lt;0,(L11+(L11*HOAssumptions!G$47)+K12),L11+K12)</f>
        <v>43334.69551144172</v>
      </c>
    </row>
    <row r="13" spans="1:12" ht="12.75">
      <c r="A13" s="363">
        <v>6</v>
      </c>
      <c r="B13" s="364">
        <f>Yields!D21</f>
        <v>4000</v>
      </c>
      <c r="C13" s="364">
        <f>Yields!E21</f>
        <v>1000</v>
      </c>
      <c r="D13" s="372">
        <f>(B13*HOAssumptions!G$28)+(C13*HOAssumptions!G$31)</f>
        <v>22222.222222222223</v>
      </c>
      <c r="E13" s="373">
        <f>Year3!H94</f>
        <v>1361.755388</v>
      </c>
      <c r="F13" s="373">
        <f>Year3!L94-(Year3!L7/2)</f>
        <v>1742.2000000000003</v>
      </c>
      <c r="G13" s="373">
        <f>Year3!O94-(Year3!O6)</f>
        <v>4360</v>
      </c>
      <c r="H13" s="373">
        <f>Year3!P84-(SUM(Year3!L77:Year3!L78)*0.5)-(SUM(Year3!O77:Year3!O80)*0.5)</f>
        <v>9214.250952380953</v>
      </c>
      <c r="I13" s="373">
        <f>Year3!L93</f>
        <v>2770</v>
      </c>
      <c r="J13" s="374">
        <f t="shared" si="0"/>
        <v>19448.20634038095</v>
      </c>
      <c r="K13" s="375">
        <f t="shared" si="1"/>
        <v>2774.015881841271</v>
      </c>
      <c r="L13" s="375">
        <f>IF(L12&lt;0,(L12+(L12*HOAssumptions!G$47)+K13),L12+K13)</f>
        <v>46108.711393282996</v>
      </c>
    </row>
    <row r="15" spans="1:6" ht="12.75">
      <c r="A15" s="29" t="s">
        <v>272</v>
      </c>
      <c r="B15" s="29"/>
      <c r="D15" s="138"/>
      <c r="E15" s="138"/>
      <c r="F15" s="139"/>
    </row>
    <row r="16" spans="1:6" ht="12.75">
      <c r="A16" s="29" t="s">
        <v>273</v>
      </c>
      <c r="B16" s="29"/>
      <c r="D16" s="138"/>
      <c r="E16" s="138"/>
      <c r="F16" s="139"/>
    </row>
    <row r="17" spans="1:6" ht="12.75">
      <c r="A17" s="29" t="s">
        <v>274</v>
      </c>
      <c r="B17" s="29"/>
      <c r="D17" s="138"/>
      <c r="E17" s="138"/>
      <c r="F17" s="139"/>
    </row>
  </sheetData>
  <sheetProtection password="ECAF" sheet="1" selectLockedCells="1"/>
  <mergeCells count="5">
    <mergeCell ref="B4:C4"/>
    <mergeCell ref="E4:H4"/>
    <mergeCell ref="B6:C6"/>
    <mergeCell ref="D6:L6"/>
    <mergeCell ref="A1:I1"/>
  </mergeCells>
  <printOptions/>
  <pageMargins left="1.25" right="0"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T33"/>
  <sheetViews>
    <sheetView showGridLines="0" zoomScaleSheetLayoutView="100" zoomScalePageLayoutView="0" workbookViewId="0" topLeftCell="A1">
      <selection activeCell="A1" sqref="A1:R23"/>
    </sheetView>
  </sheetViews>
  <sheetFormatPr defaultColWidth="8.8515625" defaultRowHeight="12.75"/>
  <cols>
    <col min="1" max="1" width="23.28125" style="0" customWidth="1"/>
    <col min="2" max="2" width="12.28125" style="0" customWidth="1"/>
    <col min="3" max="3" width="10.00390625" style="0" bestFit="1" customWidth="1"/>
    <col min="4" max="6" width="9.421875" style="0" bestFit="1" customWidth="1"/>
    <col min="7" max="7" width="13.8515625" style="0" customWidth="1"/>
    <col min="8" max="9" width="10.7109375" style="0" customWidth="1"/>
    <col min="10" max="10" width="10.421875" style="0" customWidth="1"/>
    <col min="11" max="11" width="11.28125" style="0" bestFit="1" customWidth="1"/>
    <col min="12" max="12" width="13.140625" style="0" customWidth="1"/>
    <col min="13" max="13" width="12.140625" style="0" customWidth="1"/>
    <col min="14" max="14" width="11.8515625" style="0" customWidth="1"/>
    <col min="15" max="15" width="12.7109375" style="0" customWidth="1"/>
    <col min="16" max="18" width="9.28125" style="0" bestFit="1" customWidth="1"/>
  </cols>
  <sheetData>
    <row r="1" spans="1:15" ht="12.75">
      <c r="A1" s="10" t="s">
        <v>253</v>
      </c>
      <c r="B1" s="10"/>
      <c r="C1" s="11"/>
      <c r="D1" s="11"/>
      <c r="E1" s="4"/>
      <c r="F1" s="4"/>
      <c r="G1" s="5"/>
      <c r="H1" s="5"/>
      <c r="I1" s="5"/>
      <c r="J1" s="5"/>
      <c r="K1" s="5"/>
      <c r="L1" s="6"/>
      <c r="M1" s="6"/>
      <c r="N1" s="6"/>
      <c r="O1" s="6"/>
    </row>
    <row r="2" spans="1:18" ht="12.75">
      <c r="A2" s="376"/>
      <c r="B2" s="377"/>
      <c r="C2" s="4"/>
      <c r="D2" s="4"/>
      <c r="E2" s="4"/>
      <c r="F2" s="4"/>
      <c r="G2" s="5"/>
      <c r="H2" s="5"/>
      <c r="I2" s="5"/>
      <c r="J2" s="5"/>
      <c r="K2" s="5"/>
      <c r="L2" s="6"/>
      <c r="M2" s="6"/>
      <c r="N2" s="6"/>
      <c r="O2" s="6"/>
      <c r="P2" s="461" t="s">
        <v>3</v>
      </c>
      <c r="Q2" s="462"/>
      <c r="R2" s="462"/>
    </row>
    <row r="3" spans="1:18" ht="51" customHeight="1">
      <c r="A3" s="378" t="s">
        <v>254</v>
      </c>
      <c r="B3" s="379"/>
      <c r="C3" s="380" t="s">
        <v>58</v>
      </c>
      <c r="D3" s="380" t="s">
        <v>59</v>
      </c>
      <c r="E3" s="380" t="s">
        <v>60</v>
      </c>
      <c r="F3" s="380" t="s">
        <v>84</v>
      </c>
      <c r="G3" s="381" t="s">
        <v>113</v>
      </c>
      <c r="H3" s="382" t="s">
        <v>62</v>
      </c>
      <c r="I3" s="380" t="s">
        <v>61</v>
      </c>
      <c r="J3" s="380" t="s">
        <v>21</v>
      </c>
      <c r="K3" s="381" t="s">
        <v>63</v>
      </c>
      <c r="L3" s="382" t="s">
        <v>115</v>
      </c>
      <c r="M3" s="380" t="s">
        <v>114</v>
      </c>
      <c r="N3" s="382" t="s">
        <v>64</v>
      </c>
      <c r="O3" s="382" t="s">
        <v>255</v>
      </c>
      <c r="P3" s="382" t="s">
        <v>111</v>
      </c>
      <c r="Q3" s="381" t="s">
        <v>112</v>
      </c>
      <c r="R3" s="383" t="s">
        <v>116</v>
      </c>
    </row>
    <row r="4" spans="1:19" ht="12.75">
      <c r="A4" s="384" t="s">
        <v>256</v>
      </c>
      <c r="B4" s="386" t="s">
        <v>257</v>
      </c>
      <c r="C4" s="391">
        <v>12500</v>
      </c>
      <c r="D4" s="392">
        <f>C4*0.2</f>
        <v>2500</v>
      </c>
      <c r="E4" s="392">
        <v>20</v>
      </c>
      <c r="F4" s="393">
        <v>500</v>
      </c>
      <c r="G4" s="394">
        <f>($C4-$D4)/$E4</f>
        <v>500</v>
      </c>
      <c r="H4" s="392">
        <f>($C4+$D4)/2*HOAssumptions!G47</f>
        <v>375</v>
      </c>
      <c r="I4" s="392">
        <f>($C4+$D4)/2*HOAssumptions!G48</f>
        <v>75</v>
      </c>
      <c r="J4" s="393">
        <f>($C4+$D4)/2*HOAssumptions!G49</f>
        <v>75</v>
      </c>
      <c r="K4" s="394">
        <f>$H4+$I4+$J4</f>
        <v>525</v>
      </c>
      <c r="L4" s="336">
        <f>(0.3*C4)/E4</f>
        <v>187.5</v>
      </c>
      <c r="M4" s="399">
        <f>HOAssumptions!I63*F4</f>
        <v>2448.0000000000005</v>
      </c>
      <c r="N4" s="394">
        <f>SUM($L4:$M4)</f>
        <v>2635.5000000000005</v>
      </c>
      <c r="O4" s="395">
        <f aca="true" t="shared" si="0" ref="O4:O19">$K4+$N4</f>
        <v>3160.5000000000005</v>
      </c>
      <c r="P4" s="395">
        <f>(K4+G4)/F4</f>
        <v>2.05</v>
      </c>
      <c r="Q4" s="395">
        <f aca="true" t="shared" si="1" ref="Q4:Q21">(N4)/F4</f>
        <v>5.271000000000001</v>
      </c>
      <c r="R4" s="396">
        <f>P4+Q4</f>
        <v>7.321000000000001</v>
      </c>
      <c r="S4" s="120" t="s">
        <v>3</v>
      </c>
    </row>
    <row r="5" spans="1:19" ht="12.75">
      <c r="A5" s="384" t="s">
        <v>256</v>
      </c>
      <c r="B5" s="387" t="s">
        <v>258</v>
      </c>
      <c r="C5" s="391">
        <v>24400</v>
      </c>
      <c r="D5" s="392">
        <f aca="true" t="shared" si="2" ref="D5:D17">C5*0.2</f>
        <v>4880</v>
      </c>
      <c r="E5" s="392">
        <v>20</v>
      </c>
      <c r="F5" s="397">
        <v>500</v>
      </c>
      <c r="G5" s="398">
        <f aca="true" t="shared" si="3" ref="G5:G21">($C5-$D5)/$E5</f>
        <v>976</v>
      </c>
      <c r="H5" s="392">
        <f>($C5+$D5)/2*HOAssumptions!G47</f>
        <v>732</v>
      </c>
      <c r="I5" s="392">
        <f>($C5+$D5)/2*HOAssumptions!G48</f>
        <v>146.4</v>
      </c>
      <c r="J5" s="397">
        <f>($C5+$D5)/2*HOAssumptions!G49</f>
        <v>146.4</v>
      </c>
      <c r="K5" s="398">
        <f aca="true" t="shared" si="4" ref="K5:K21">$H5+$I5+$J5</f>
        <v>1024.8</v>
      </c>
      <c r="L5" s="336">
        <f>(0.3*C5)/E5</f>
        <v>366</v>
      </c>
      <c r="M5" s="399">
        <f>HOAssumptions!I64*F5</f>
        <v>4080</v>
      </c>
      <c r="N5" s="398">
        <f aca="true" t="shared" si="5" ref="N5:N21">SUM($L5:$M5)</f>
        <v>4446</v>
      </c>
      <c r="O5" s="400">
        <f t="shared" si="0"/>
        <v>5470.8</v>
      </c>
      <c r="P5" s="400">
        <f aca="true" t="shared" si="6" ref="P5:P21">(K5+G5)/F5</f>
        <v>4.0016</v>
      </c>
      <c r="Q5" s="400">
        <f t="shared" si="1"/>
        <v>8.892</v>
      </c>
      <c r="R5" s="401">
        <f aca="true" t="shared" si="7" ref="R5:R21">P5+Q5</f>
        <v>12.8936</v>
      </c>
      <c r="S5" s="120" t="s">
        <v>3</v>
      </c>
    </row>
    <row r="6" spans="1:19" ht="12.75">
      <c r="A6" s="384" t="s">
        <v>260</v>
      </c>
      <c r="B6" s="387" t="s">
        <v>259</v>
      </c>
      <c r="C6" s="391">
        <v>900</v>
      </c>
      <c r="D6" s="392">
        <f t="shared" si="2"/>
        <v>180</v>
      </c>
      <c r="E6" s="392">
        <v>12</v>
      </c>
      <c r="F6" s="397">
        <v>125</v>
      </c>
      <c r="G6" s="398">
        <f t="shared" si="3"/>
        <v>60</v>
      </c>
      <c r="H6" s="392">
        <f>($C6+$D6)/2*HOAssumptions!G47</f>
        <v>27</v>
      </c>
      <c r="I6" s="392">
        <f>($C6+$D6)/2*HOAssumptions!G48</f>
        <v>5.4</v>
      </c>
      <c r="J6" s="397">
        <f>($C6+$D6)/2*HOAssumptions!G49</f>
        <v>5.4</v>
      </c>
      <c r="K6" s="398">
        <f t="shared" si="4"/>
        <v>37.8</v>
      </c>
      <c r="L6" s="336">
        <f>(0.3*C6)/E6</f>
        <v>22.5</v>
      </c>
      <c r="M6" s="399">
        <v>0</v>
      </c>
      <c r="N6" s="398">
        <f t="shared" si="5"/>
        <v>22.5</v>
      </c>
      <c r="O6" s="400">
        <f t="shared" si="0"/>
        <v>60.3</v>
      </c>
      <c r="P6" s="400">
        <f t="shared" si="6"/>
        <v>0.7824</v>
      </c>
      <c r="Q6" s="400">
        <f t="shared" si="1"/>
        <v>0.18</v>
      </c>
      <c r="R6" s="401">
        <f>P6+Q6</f>
        <v>0.9623999999999999</v>
      </c>
      <c r="S6" s="120" t="s">
        <v>3</v>
      </c>
    </row>
    <row r="7" spans="1:19" ht="12.75">
      <c r="A7" s="384" t="s">
        <v>296</v>
      </c>
      <c r="B7" s="387"/>
      <c r="C7" s="391">
        <v>5000</v>
      </c>
      <c r="D7" s="392">
        <f t="shared" si="2"/>
        <v>1000</v>
      </c>
      <c r="E7" s="392">
        <v>15</v>
      </c>
      <c r="F7" s="397">
        <v>100</v>
      </c>
      <c r="G7" s="398">
        <f t="shared" si="3"/>
        <v>266.6666666666667</v>
      </c>
      <c r="H7" s="392">
        <f>($C7+$D7)/2*HOAssumptions!G47</f>
        <v>150</v>
      </c>
      <c r="I7" s="392">
        <f>($C7+$D7)/2*HOAssumptions!G48</f>
        <v>30</v>
      </c>
      <c r="J7" s="397">
        <f>($C7+$D7)/2*HOAssumptions!G49</f>
        <v>30</v>
      </c>
      <c r="K7" s="398">
        <f t="shared" si="4"/>
        <v>210</v>
      </c>
      <c r="L7" s="336">
        <f>(0.3*C7)/E7</f>
        <v>100</v>
      </c>
      <c r="M7" s="399">
        <v>0</v>
      </c>
      <c r="N7" s="398">
        <f t="shared" si="5"/>
        <v>100</v>
      </c>
      <c r="O7" s="400">
        <f t="shared" si="0"/>
        <v>310</v>
      </c>
      <c r="P7" s="400">
        <f>(K7+G7)/F7</f>
        <v>4.766666666666667</v>
      </c>
      <c r="Q7" s="400">
        <f>(N7)/F7</f>
        <v>1</v>
      </c>
      <c r="R7" s="401">
        <f>P7+Q7</f>
        <v>5.766666666666667</v>
      </c>
      <c r="S7" s="410"/>
    </row>
    <row r="8" spans="1:19" s="8" customFormat="1" ht="12.75">
      <c r="A8" s="56" t="s">
        <v>72</v>
      </c>
      <c r="B8" s="388" t="s">
        <v>3</v>
      </c>
      <c r="C8" s="391">
        <v>1000</v>
      </c>
      <c r="D8" s="392">
        <f t="shared" si="2"/>
        <v>200</v>
      </c>
      <c r="E8" s="392">
        <v>15</v>
      </c>
      <c r="F8" s="397">
        <v>100</v>
      </c>
      <c r="G8" s="398">
        <f t="shared" si="3"/>
        <v>53.333333333333336</v>
      </c>
      <c r="H8" s="392">
        <v>0</v>
      </c>
      <c r="I8" s="392">
        <v>0</v>
      </c>
      <c r="J8" s="397">
        <v>0</v>
      </c>
      <c r="K8" s="398">
        <f t="shared" si="4"/>
        <v>0</v>
      </c>
      <c r="L8" s="336">
        <v>0</v>
      </c>
      <c r="M8" s="399">
        <v>0</v>
      </c>
      <c r="N8" s="398">
        <f t="shared" si="5"/>
        <v>0</v>
      </c>
      <c r="O8" s="400">
        <f t="shared" si="0"/>
        <v>0</v>
      </c>
      <c r="P8" s="400">
        <f t="shared" si="6"/>
        <v>0.5333333333333333</v>
      </c>
      <c r="Q8" s="400">
        <f t="shared" si="1"/>
        <v>0</v>
      </c>
      <c r="R8" s="401">
        <f t="shared" si="7"/>
        <v>0.5333333333333333</v>
      </c>
      <c r="S8" s="67" t="s">
        <v>3</v>
      </c>
    </row>
    <row r="9" spans="1:20" ht="12.75">
      <c r="A9" s="384" t="s">
        <v>276</v>
      </c>
      <c r="B9" s="387" t="s">
        <v>70</v>
      </c>
      <c r="C9" s="391">
        <v>6000</v>
      </c>
      <c r="D9" s="392">
        <f t="shared" si="2"/>
        <v>1200</v>
      </c>
      <c r="E9" s="392">
        <v>12</v>
      </c>
      <c r="F9" s="397">
        <v>125</v>
      </c>
      <c r="G9" s="398">
        <f t="shared" si="3"/>
        <v>400</v>
      </c>
      <c r="H9" s="392">
        <f>($C9+$D9)/2*HOAssumptions!G47</f>
        <v>180</v>
      </c>
      <c r="I9" s="392">
        <f>($C9+$D9)/2*HOAssumptions!G48</f>
        <v>36</v>
      </c>
      <c r="J9" s="397">
        <f>($C9+$D9)/2*HOAssumptions!G49</f>
        <v>36</v>
      </c>
      <c r="K9" s="398">
        <f t="shared" si="4"/>
        <v>252</v>
      </c>
      <c r="L9" s="336">
        <f aca="true" t="shared" si="8" ref="L9:L21">(0.3*C9)/E9</f>
        <v>150</v>
      </c>
      <c r="M9" s="399">
        <v>0</v>
      </c>
      <c r="N9" s="398">
        <f t="shared" si="5"/>
        <v>150</v>
      </c>
      <c r="O9" s="400">
        <f t="shared" si="0"/>
        <v>402</v>
      </c>
      <c r="P9" s="400">
        <f t="shared" si="6"/>
        <v>5.216</v>
      </c>
      <c r="Q9" s="400">
        <f t="shared" si="1"/>
        <v>1.2</v>
      </c>
      <c r="R9" s="401">
        <f t="shared" si="7"/>
        <v>6.416</v>
      </c>
      <c r="S9" s="57"/>
      <c r="T9" s="39"/>
    </row>
    <row r="10" spans="1:19" ht="12.75">
      <c r="A10" s="384" t="s">
        <v>261</v>
      </c>
      <c r="B10" s="387" t="s">
        <v>65</v>
      </c>
      <c r="C10" s="391">
        <v>2600</v>
      </c>
      <c r="D10" s="392">
        <f t="shared" si="2"/>
        <v>520</v>
      </c>
      <c r="E10" s="392">
        <v>15</v>
      </c>
      <c r="F10" s="397">
        <v>125</v>
      </c>
      <c r="G10" s="398">
        <f t="shared" si="3"/>
        <v>138.66666666666666</v>
      </c>
      <c r="H10" s="392">
        <f>($C10+$D10)/2*HOAssumptions!G47</f>
        <v>78</v>
      </c>
      <c r="I10" s="392">
        <f>($C10+$D10)/2*HOAssumptions!G48</f>
        <v>15.6</v>
      </c>
      <c r="J10" s="397">
        <f>($C10+$D10)/2*HOAssumptions!G49</f>
        <v>15.6</v>
      </c>
      <c r="K10" s="398">
        <f t="shared" si="4"/>
        <v>109.19999999999999</v>
      </c>
      <c r="L10" s="336">
        <f t="shared" si="8"/>
        <v>52</v>
      </c>
      <c r="M10" s="399">
        <v>0</v>
      </c>
      <c r="N10" s="398">
        <f t="shared" si="5"/>
        <v>52</v>
      </c>
      <c r="O10" s="400">
        <f t="shared" si="0"/>
        <v>161.2</v>
      </c>
      <c r="P10" s="400">
        <f t="shared" si="6"/>
        <v>1.9829333333333332</v>
      </c>
      <c r="Q10" s="400">
        <f t="shared" si="1"/>
        <v>0.416</v>
      </c>
      <c r="R10" s="401">
        <f t="shared" si="7"/>
        <v>2.3989333333333334</v>
      </c>
      <c r="S10" s="120" t="s">
        <v>3</v>
      </c>
    </row>
    <row r="11" spans="1:19" ht="12.75">
      <c r="A11" s="384" t="s">
        <v>301</v>
      </c>
      <c r="B11" s="387"/>
      <c r="C11" s="391">
        <v>1900</v>
      </c>
      <c r="D11" s="392">
        <f t="shared" si="2"/>
        <v>380</v>
      </c>
      <c r="E11" s="392">
        <v>15</v>
      </c>
      <c r="F11" s="397">
        <v>100</v>
      </c>
      <c r="G11" s="398">
        <f t="shared" si="3"/>
        <v>101.33333333333333</v>
      </c>
      <c r="H11" s="392">
        <f>($C11+$D11)/2*HOAssumptions!G47</f>
        <v>57</v>
      </c>
      <c r="I11" s="392">
        <f>($C11+$D11)/2*HOAssumptions!G48</f>
        <v>11.4</v>
      </c>
      <c r="J11" s="397">
        <f>($C11+$D11)/2*HOAssumptions!G49</f>
        <v>11.4</v>
      </c>
      <c r="K11" s="398">
        <f t="shared" si="4"/>
        <v>79.80000000000001</v>
      </c>
      <c r="L11" s="336">
        <f>(0.3*C11)/E11</f>
        <v>38</v>
      </c>
      <c r="M11" s="399">
        <v>0</v>
      </c>
      <c r="N11" s="398">
        <f t="shared" si="5"/>
        <v>38</v>
      </c>
      <c r="O11" s="400">
        <f t="shared" si="0"/>
        <v>117.80000000000001</v>
      </c>
      <c r="P11" s="400">
        <f>(K11+G11)/F11</f>
        <v>1.8113333333333332</v>
      </c>
      <c r="Q11" s="400">
        <f>(N11)/F11</f>
        <v>0.38</v>
      </c>
      <c r="R11" s="401">
        <f>P11+Q11</f>
        <v>2.191333333333333</v>
      </c>
      <c r="S11" s="428"/>
    </row>
    <row r="12" spans="1:19" ht="12.75">
      <c r="A12" s="384" t="s">
        <v>262</v>
      </c>
      <c r="B12" s="387" t="s">
        <v>65</v>
      </c>
      <c r="C12" s="391">
        <v>3000</v>
      </c>
      <c r="D12" s="392">
        <f t="shared" si="2"/>
        <v>600</v>
      </c>
      <c r="E12" s="392">
        <v>15</v>
      </c>
      <c r="F12" s="397">
        <v>125</v>
      </c>
      <c r="G12" s="398">
        <f t="shared" si="3"/>
        <v>160</v>
      </c>
      <c r="H12" s="392">
        <f>($C12+$D12)/2*HOAssumptions!G47</f>
        <v>90</v>
      </c>
      <c r="I12" s="392">
        <f>($C12+$D12)/2*HOAssumptions!G48</f>
        <v>18</v>
      </c>
      <c r="J12" s="397">
        <f>($C12+$D12)/2*HOAssumptions!G49</f>
        <v>18</v>
      </c>
      <c r="K12" s="398">
        <f t="shared" si="4"/>
        <v>126</v>
      </c>
      <c r="L12" s="336">
        <f t="shared" si="8"/>
        <v>60</v>
      </c>
      <c r="M12" s="399">
        <v>0</v>
      </c>
      <c r="N12" s="398">
        <f t="shared" si="5"/>
        <v>60</v>
      </c>
      <c r="O12" s="400">
        <f t="shared" si="0"/>
        <v>186</v>
      </c>
      <c r="P12" s="400">
        <f t="shared" si="6"/>
        <v>2.288</v>
      </c>
      <c r="Q12" s="400">
        <f t="shared" si="1"/>
        <v>0.48</v>
      </c>
      <c r="R12" s="401">
        <f t="shared" si="7"/>
        <v>2.768</v>
      </c>
      <c r="S12" s="120" t="s">
        <v>3</v>
      </c>
    </row>
    <row r="13" spans="1:19" ht="12.75">
      <c r="A13" s="384" t="s">
        <v>211</v>
      </c>
      <c r="B13" s="387" t="s">
        <v>263</v>
      </c>
      <c r="C13" s="391">
        <v>5000</v>
      </c>
      <c r="D13" s="392">
        <f t="shared" si="2"/>
        <v>1000</v>
      </c>
      <c r="E13" s="392">
        <v>15</v>
      </c>
      <c r="F13" s="397">
        <v>125</v>
      </c>
      <c r="G13" s="398">
        <f t="shared" si="3"/>
        <v>266.6666666666667</v>
      </c>
      <c r="H13" s="392">
        <f>($C13+$D13)/2*HOAssumptions!G47</f>
        <v>150</v>
      </c>
      <c r="I13" s="392">
        <f>($C13+$D13)/2*HOAssumptions!G48</f>
        <v>30</v>
      </c>
      <c r="J13" s="397">
        <f>($C13+$D13)/2*HOAssumptions!G49</f>
        <v>30</v>
      </c>
      <c r="K13" s="398">
        <f t="shared" si="4"/>
        <v>210</v>
      </c>
      <c r="L13" s="336">
        <f t="shared" si="8"/>
        <v>100</v>
      </c>
      <c r="M13" s="399">
        <v>0</v>
      </c>
      <c r="N13" s="398">
        <f t="shared" si="5"/>
        <v>100</v>
      </c>
      <c r="O13" s="400">
        <f t="shared" si="0"/>
        <v>310</v>
      </c>
      <c r="P13" s="400">
        <f t="shared" si="6"/>
        <v>3.8133333333333335</v>
      </c>
      <c r="Q13" s="400">
        <f t="shared" si="1"/>
        <v>0.8</v>
      </c>
      <c r="R13" s="401">
        <f t="shared" si="7"/>
        <v>4.613333333333333</v>
      </c>
      <c r="S13" s="120" t="s">
        <v>3</v>
      </c>
    </row>
    <row r="14" spans="1:19" ht="12.75">
      <c r="A14" s="384" t="s">
        <v>302</v>
      </c>
      <c r="B14" s="387"/>
      <c r="C14" s="391">
        <v>3500</v>
      </c>
      <c r="D14" s="392">
        <f t="shared" si="2"/>
        <v>700</v>
      </c>
      <c r="E14" s="392">
        <v>15</v>
      </c>
      <c r="F14" s="397">
        <v>100</v>
      </c>
      <c r="G14" s="398">
        <f t="shared" si="3"/>
        <v>186.66666666666666</v>
      </c>
      <c r="H14" s="392">
        <f>($C14+$D14)/2*HOAssumptions!G47</f>
        <v>105</v>
      </c>
      <c r="I14" s="392">
        <f>($C14+$D14)/2*HOAssumptions!G48</f>
        <v>21</v>
      </c>
      <c r="J14" s="397">
        <f>($C14+$D14)/2*HOAssumptions!G49</f>
        <v>21</v>
      </c>
      <c r="K14" s="398">
        <f t="shared" si="4"/>
        <v>147</v>
      </c>
      <c r="L14" s="336">
        <f>(0.3*C14)/E14</f>
        <v>70</v>
      </c>
      <c r="M14" s="399">
        <v>0</v>
      </c>
      <c r="N14" s="398">
        <f t="shared" si="5"/>
        <v>70</v>
      </c>
      <c r="O14" s="400">
        <f t="shared" si="0"/>
        <v>217</v>
      </c>
      <c r="P14" s="400">
        <f>(K14+G14)/F14</f>
        <v>3.3366666666666664</v>
      </c>
      <c r="Q14" s="400">
        <f>(N14)/F14</f>
        <v>0.7</v>
      </c>
      <c r="R14" s="401">
        <f>P14+Q14</f>
        <v>4.036666666666666</v>
      </c>
      <c r="S14" s="428"/>
    </row>
    <row r="15" spans="1:19" ht="12.75">
      <c r="A15" s="384" t="s">
        <v>66</v>
      </c>
      <c r="B15" s="387" t="s">
        <v>3</v>
      </c>
      <c r="C15" s="391">
        <v>2000</v>
      </c>
      <c r="D15" s="392">
        <f t="shared" si="2"/>
        <v>400</v>
      </c>
      <c r="E15" s="392">
        <v>15</v>
      </c>
      <c r="F15" s="397">
        <v>600</v>
      </c>
      <c r="G15" s="398">
        <f t="shared" si="3"/>
        <v>106.66666666666667</v>
      </c>
      <c r="H15" s="392">
        <f>($C15+$D15)/2*HOAssumptions!G47</f>
        <v>60</v>
      </c>
      <c r="I15" s="392">
        <f>($C15+$D15)/2*HOAssumptions!G48</f>
        <v>12</v>
      </c>
      <c r="J15" s="397">
        <f>($C15+$D15)/2*HOAssumptions!G49</f>
        <v>12</v>
      </c>
      <c r="K15" s="398">
        <f t="shared" si="4"/>
        <v>84</v>
      </c>
      <c r="L15" s="336">
        <f t="shared" si="8"/>
        <v>40</v>
      </c>
      <c r="M15" s="399">
        <v>0</v>
      </c>
      <c r="N15" s="398">
        <f t="shared" si="5"/>
        <v>40</v>
      </c>
      <c r="O15" s="400">
        <f t="shared" si="0"/>
        <v>124</v>
      </c>
      <c r="P15" s="400">
        <f t="shared" si="6"/>
        <v>0.3177777777777778</v>
      </c>
      <c r="Q15" s="400">
        <f t="shared" si="1"/>
        <v>0.06666666666666667</v>
      </c>
      <c r="R15" s="401">
        <f t="shared" si="7"/>
        <v>0.3844444444444445</v>
      </c>
      <c r="S15" s="120" t="s">
        <v>3</v>
      </c>
    </row>
    <row r="16" spans="1:20" ht="12.75">
      <c r="A16" s="384" t="s">
        <v>264</v>
      </c>
      <c r="B16" s="387" t="s">
        <v>3</v>
      </c>
      <c r="C16" s="391">
        <v>7000</v>
      </c>
      <c r="D16" s="392">
        <f t="shared" si="2"/>
        <v>1400</v>
      </c>
      <c r="E16" s="392">
        <v>20</v>
      </c>
      <c r="F16" s="397">
        <v>50</v>
      </c>
      <c r="G16" s="398">
        <f t="shared" si="3"/>
        <v>280</v>
      </c>
      <c r="H16" s="392">
        <f>($C16+$D16)/2*HOAssumptions!G47</f>
        <v>210</v>
      </c>
      <c r="I16" s="392">
        <f>($C16+$D16)/2*HOAssumptions!G48</f>
        <v>42</v>
      </c>
      <c r="J16" s="397">
        <f>($C16+$D16)/2*HOAssumptions!G49</f>
        <v>42</v>
      </c>
      <c r="K16" s="398">
        <f t="shared" si="4"/>
        <v>294</v>
      </c>
      <c r="L16" s="336">
        <f t="shared" si="8"/>
        <v>105</v>
      </c>
      <c r="M16" s="399">
        <v>0</v>
      </c>
      <c r="N16" s="398">
        <f t="shared" si="5"/>
        <v>105</v>
      </c>
      <c r="O16" s="400">
        <f t="shared" si="0"/>
        <v>399</v>
      </c>
      <c r="P16" s="400">
        <f t="shared" si="6"/>
        <v>11.48</v>
      </c>
      <c r="Q16" s="400">
        <f t="shared" si="1"/>
        <v>2.1</v>
      </c>
      <c r="R16" s="401">
        <f t="shared" si="7"/>
        <v>13.58</v>
      </c>
      <c r="S16" s="120" t="s">
        <v>3</v>
      </c>
      <c r="T16" s="39"/>
    </row>
    <row r="17" spans="1:19" ht="12.75">
      <c r="A17" s="56" t="s">
        <v>271</v>
      </c>
      <c r="B17" s="389" t="s">
        <v>88</v>
      </c>
      <c r="C17" s="391">
        <v>15000</v>
      </c>
      <c r="D17" s="392">
        <f t="shared" si="2"/>
        <v>3000</v>
      </c>
      <c r="E17" s="392">
        <v>12</v>
      </c>
      <c r="F17" s="397">
        <v>2800</v>
      </c>
      <c r="G17" s="398">
        <f t="shared" si="3"/>
        <v>1000</v>
      </c>
      <c r="H17" s="392">
        <f>($C17+$D17)/2*HOAssumptions!G47</f>
        <v>450</v>
      </c>
      <c r="I17" s="392">
        <f>($C17+$D17)/2*HOAssumptions!G48</f>
        <v>90</v>
      </c>
      <c r="J17" s="397">
        <f>($C17+$D17)/2*HOAssumptions!G49</f>
        <v>90</v>
      </c>
      <c r="K17" s="398">
        <f t="shared" si="4"/>
        <v>630</v>
      </c>
      <c r="L17" s="336">
        <f t="shared" si="8"/>
        <v>375</v>
      </c>
      <c r="M17" s="399">
        <f>HOAssumptions!I65*F17</f>
        <v>14279.999999999998</v>
      </c>
      <c r="N17" s="398">
        <f>SUM($L17:$M17)</f>
        <v>14654.999999999998</v>
      </c>
      <c r="O17" s="400">
        <f t="shared" si="0"/>
        <v>15284.999999999998</v>
      </c>
      <c r="P17" s="400">
        <f t="shared" si="6"/>
        <v>0.5821428571428572</v>
      </c>
      <c r="Q17" s="400">
        <f t="shared" si="1"/>
        <v>5.233928571428571</v>
      </c>
      <c r="R17" s="401">
        <f t="shared" si="7"/>
        <v>5.816071428571428</v>
      </c>
      <c r="S17" s="120" t="s">
        <v>3</v>
      </c>
    </row>
    <row r="18" spans="1:19" ht="12.75">
      <c r="A18" s="56" t="s">
        <v>270</v>
      </c>
      <c r="B18" s="389" t="s">
        <v>3</v>
      </c>
      <c r="C18" s="391">
        <v>4000</v>
      </c>
      <c r="D18" s="392">
        <v>0</v>
      </c>
      <c r="E18" s="392">
        <v>10</v>
      </c>
      <c r="F18" s="397">
        <v>150</v>
      </c>
      <c r="G18" s="398">
        <f t="shared" si="3"/>
        <v>400</v>
      </c>
      <c r="H18" s="392">
        <f>($C18+$D18)/2*HOAssumptions!G47</f>
        <v>100</v>
      </c>
      <c r="I18" s="392">
        <f>($C18+$D18)/2*HOAssumptions!G48</f>
        <v>20</v>
      </c>
      <c r="J18" s="397">
        <f>($C18+$D18)/2*HOAssumptions!G49</f>
        <v>20</v>
      </c>
      <c r="K18" s="398">
        <f>$H18+$I18+$J18</f>
        <v>140</v>
      </c>
      <c r="L18" s="336">
        <f t="shared" si="8"/>
        <v>120</v>
      </c>
      <c r="M18" s="399">
        <v>500</v>
      </c>
      <c r="N18" s="398">
        <f>SUM($L18:$M18)</f>
        <v>620</v>
      </c>
      <c r="O18" s="400">
        <f t="shared" si="0"/>
        <v>760</v>
      </c>
      <c r="P18" s="400">
        <f t="shared" si="6"/>
        <v>3.6</v>
      </c>
      <c r="Q18" s="400">
        <f t="shared" si="1"/>
        <v>4.133333333333334</v>
      </c>
      <c r="R18" s="401">
        <f t="shared" si="7"/>
        <v>7.733333333333334</v>
      </c>
      <c r="S18" s="120" t="s">
        <v>3</v>
      </c>
    </row>
    <row r="19" spans="1:19" ht="12.75">
      <c r="A19" s="434" t="s">
        <v>312</v>
      </c>
      <c r="B19" s="389"/>
      <c r="C19" s="391">
        <v>400</v>
      </c>
      <c r="D19" s="392">
        <f>C19*0.2</f>
        <v>80</v>
      </c>
      <c r="E19" s="392">
        <v>10</v>
      </c>
      <c r="F19" s="397">
        <v>150</v>
      </c>
      <c r="G19" s="398">
        <f t="shared" si="3"/>
        <v>32</v>
      </c>
      <c r="H19" s="392">
        <f>($C19+$D19)/2*HOAssumptions!G47</f>
        <v>12</v>
      </c>
      <c r="I19" s="392">
        <f>($C19+$D19)/2*HOAssumptions!G48</f>
        <v>2.4</v>
      </c>
      <c r="J19" s="397">
        <f>($C19+$D19)/2*HOAssumptions!G49</f>
        <v>2.4</v>
      </c>
      <c r="K19" s="398">
        <f t="shared" si="4"/>
        <v>16.8</v>
      </c>
      <c r="L19" s="336">
        <f>(0.3*C19)/E19</f>
        <v>12</v>
      </c>
      <c r="M19" s="399">
        <v>0</v>
      </c>
      <c r="N19" s="398">
        <f>SUM($L19:$M19)</f>
        <v>12</v>
      </c>
      <c r="O19" s="400">
        <f t="shared" si="0"/>
        <v>28.8</v>
      </c>
      <c r="P19" s="400">
        <f>(K19+G19)/F19</f>
        <v>0.3253333333333333</v>
      </c>
      <c r="Q19" s="400">
        <f>(N19)/F19</f>
        <v>0.08</v>
      </c>
      <c r="R19" s="401">
        <f>P19+Q19</f>
        <v>0.4053333333333333</v>
      </c>
      <c r="S19" s="435"/>
    </row>
    <row r="20" spans="1:20" ht="15" customHeight="1">
      <c r="A20" s="56" t="s">
        <v>67</v>
      </c>
      <c r="B20" s="389" t="s">
        <v>3</v>
      </c>
      <c r="C20" s="391">
        <v>25000</v>
      </c>
      <c r="D20" s="392">
        <f>C20*0.2</f>
        <v>5000</v>
      </c>
      <c r="E20" s="392">
        <v>12</v>
      </c>
      <c r="F20" s="397">
        <v>900</v>
      </c>
      <c r="G20" s="398">
        <f t="shared" si="3"/>
        <v>1666.6666666666667</v>
      </c>
      <c r="H20" s="392">
        <f>($C20+$D20)/2*HOAssumptions!G47</f>
        <v>750</v>
      </c>
      <c r="I20" s="392">
        <f>($C20+$D20)/2*HOAssumptions!G48</f>
        <v>150</v>
      </c>
      <c r="J20" s="397">
        <f>($C20+$D20)/2*HOAssumptions!G49</f>
        <v>150</v>
      </c>
      <c r="K20" s="398">
        <f>$H20+$I20+$J20</f>
        <v>1050</v>
      </c>
      <c r="L20" s="336">
        <f t="shared" si="8"/>
        <v>625</v>
      </c>
      <c r="M20" s="399">
        <f>HOAssumptions!I66*F20</f>
        <v>7650</v>
      </c>
      <c r="N20" s="397">
        <f>SUM($L20:$M20)</f>
        <v>8275</v>
      </c>
      <c r="O20" s="400">
        <f>$K20+$N20</f>
        <v>9325</v>
      </c>
      <c r="P20" s="400">
        <f t="shared" si="6"/>
        <v>3.018518518518519</v>
      </c>
      <c r="Q20" s="400">
        <f t="shared" si="1"/>
        <v>9.194444444444445</v>
      </c>
      <c r="R20" s="401">
        <f t="shared" si="7"/>
        <v>12.212962962962964</v>
      </c>
      <c r="S20" s="385" t="s">
        <v>3</v>
      </c>
      <c r="T20" s="7" t="s">
        <v>3</v>
      </c>
    </row>
    <row r="21" spans="1:19" ht="15" customHeight="1">
      <c r="A21" s="140" t="s">
        <v>85</v>
      </c>
      <c r="B21" s="390"/>
      <c r="C21" s="402">
        <v>20000</v>
      </c>
      <c r="D21" s="403">
        <f>C21*0.2</f>
        <v>4000</v>
      </c>
      <c r="E21" s="403">
        <v>15</v>
      </c>
      <c r="F21" s="404">
        <v>500</v>
      </c>
      <c r="G21" s="405">
        <f t="shared" si="3"/>
        <v>1066.6666666666667</v>
      </c>
      <c r="H21" s="403">
        <f>($C21+$D21)/2*HOAssumptions!G47</f>
        <v>600</v>
      </c>
      <c r="I21" s="403">
        <f>($C21+$D21)/2*HOAssumptions!G48</f>
        <v>120</v>
      </c>
      <c r="J21" s="404">
        <f>($C21+$D21)/2*HOAssumptions!G49</f>
        <v>120</v>
      </c>
      <c r="K21" s="405">
        <f t="shared" si="4"/>
        <v>840</v>
      </c>
      <c r="L21" s="338">
        <f t="shared" si="8"/>
        <v>400</v>
      </c>
      <c r="M21" s="406">
        <f>HOAssumptions!I67*F21</f>
        <v>5312.5</v>
      </c>
      <c r="N21" s="405">
        <f t="shared" si="5"/>
        <v>5712.5</v>
      </c>
      <c r="O21" s="407">
        <f>$K21+$N21</f>
        <v>6552.5</v>
      </c>
      <c r="P21" s="407">
        <f t="shared" si="6"/>
        <v>3.8133333333333335</v>
      </c>
      <c r="Q21" s="407">
        <f t="shared" si="1"/>
        <v>11.425</v>
      </c>
      <c r="R21" s="408">
        <f t="shared" si="7"/>
        <v>15.238333333333333</v>
      </c>
      <c r="S21" s="57" t="s">
        <v>3</v>
      </c>
    </row>
    <row r="22" spans="9:13" ht="12.75">
      <c r="I22" s="35"/>
      <c r="J22" s="35"/>
      <c r="K22" s="35"/>
      <c r="L22" s="35"/>
      <c r="M22" s="35"/>
    </row>
    <row r="23" spans="9:13" ht="12.75">
      <c r="I23" s="35"/>
      <c r="J23" s="12" t="s">
        <v>3</v>
      </c>
      <c r="K23" s="12"/>
      <c r="L23" s="56"/>
      <c r="M23" s="12"/>
    </row>
    <row r="24" spans="10:13" ht="12.75">
      <c r="J24" s="32" t="s">
        <v>3</v>
      </c>
      <c r="K24" s="32"/>
      <c r="L24" s="32"/>
      <c r="M24" s="32"/>
    </row>
    <row r="25" spans="1:13" ht="12.75">
      <c r="A25" s="39"/>
      <c r="B25" s="39"/>
      <c r="C25" s="48"/>
      <c r="J25" s="32" t="s">
        <v>3</v>
      </c>
      <c r="K25" s="32" t="s">
        <v>3</v>
      </c>
      <c r="L25" s="32"/>
      <c r="M25" s="32"/>
    </row>
    <row r="26" spans="1:3" ht="12.75">
      <c r="A26" s="49"/>
      <c r="B26" s="39"/>
      <c r="C26" s="48"/>
    </row>
    <row r="27" ht="12.75">
      <c r="B27" s="49"/>
    </row>
    <row r="28" ht="12.75">
      <c r="B28" s="39"/>
    </row>
    <row r="29" spans="1:3" ht="12.75">
      <c r="A29" s="39"/>
      <c r="B29" s="39"/>
      <c r="C29" s="39"/>
    </row>
    <row r="30" spans="1:8" ht="12.75">
      <c r="A30" s="39"/>
      <c r="B30" s="39"/>
      <c r="C30" s="39"/>
      <c r="H30" s="39"/>
    </row>
    <row r="31" ht="12.75">
      <c r="C31" s="39"/>
    </row>
    <row r="32" ht="12.75">
      <c r="C32" s="39"/>
    </row>
    <row r="33" ht="12.75">
      <c r="C33" s="39"/>
    </row>
  </sheetData>
  <sheetProtection password="ECAF" sheet="1" selectLockedCells="1"/>
  <mergeCells count="1">
    <mergeCell ref="P2:R2"/>
  </mergeCells>
  <printOptions/>
  <pageMargins left="0.29" right="0.21" top="0.53" bottom="0.41" header="0.5" footer="0.4"/>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NCSU-ARE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TestGrad</dc:creator>
  <cp:keywords/>
  <dc:description/>
  <cp:lastModifiedBy>Olya Sydorovych</cp:lastModifiedBy>
  <cp:lastPrinted>2015-06-10T14:26:54Z</cp:lastPrinted>
  <dcterms:created xsi:type="dcterms:W3CDTF">2003-02-23T22:21:50Z</dcterms:created>
  <dcterms:modified xsi:type="dcterms:W3CDTF">2015-06-10T14:38:13Z</dcterms:modified>
  <cp:category/>
  <cp:version/>
  <cp:contentType/>
  <cp:contentStatus/>
</cp:coreProperties>
</file>